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 firstSheet="1" activeTab="1"/>
  </bookViews>
  <sheets>
    <sheet name="VALUE" sheetId="1" state="hidden" r:id="rId1"/>
    <sheet name="คำนวณค่าเบี้ย" sheetId="2" r:id="rId2"/>
  </sheets>
  <definedNames>
    <definedName name="insurename">VALUE!$A$2:$A$32</definedName>
    <definedName name="MAILFEE" localSheetId="1">คำนวณค่าเบี้ย!$T$7:$V$29</definedName>
    <definedName name="mailinfor" localSheetId="1">คำนวณค่าเบี้ย!$T$7:$X$29</definedName>
    <definedName name="MAILORDER">VALUE!$A$2:$F$32</definedName>
    <definedName name="period">VALUE!$A$38:$A$43</definedName>
    <definedName name="_xlnm.Print_Area" localSheetId="1">คำนวณค่าเบี้ย!$A$5:$O$75</definedName>
  </definedNames>
  <calcPr calcId="145621"/>
</workbook>
</file>

<file path=xl/calcChain.xml><?xml version="1.0" encoding="utf-8"?>
<calcChain xmlns="http://schemas.openxmlformats.org/spreadsheetml/2006/main">
  <c r="F47" i="2" l="1"/>
  <c r="D47" i="2" s="1"/>
  <c r="N47" i="2" s="1"/>
  <c r="L49" i="2" s="1"/>
  <c r="L9" i="1"/>
  <c r="E49" i="2" s="1"/>
  <c r="M37" i="2"/>
  <c r="M43" i="2"/>
  <c r="B43" i="2"/>
  <c r="C37" i="2"/>
  <c r="L12" i="1"/>
  <c r="E31" i="2" s="1"/>
  <c r="L8" i="1"/>
  <c r="E22" i="2" s="1"/>
  <c r="L3" i="1"/>
  <c r="L2" i="1"/>
  <c r="R3" i="1" l="1"/>
  <c r="R2" i="1"/>
  <c r="M49" i="2"/>
  <c r="D40" i="2"/>
  <c r="L31" i="2"/>
  <c r="E23" i="2"/>
  <c r="D50" i="2"/>
  <c r="E50" i="2"/>
  <c r="E67" i="2"/>
  <c r="E71" i="2"/>
  <c r="D23" i="2"/>
  <c r="E30" i="2"/>
  <c r="D39" i="2"/>
  <c r="L39" i="2"/>
  <c r="L40" i="2"/>
  <c r="D49" i="2"/>
  <c r="E40" i="2"/>
  <c r="L50" i="2"/>
  <c r="L51" i="2" s="1"/>
  <c r="E57" i="2"/>
  <c r="E61" i="2"/>
  <c r="D67" i="2"/>
  <c r="D71" i="2"/>
  <c r="L71" i="2"/>
  <c r="L67" i="2"/>
  <c r="L68" i="2" s="1"/>
  <c r="E39" i="2"/>
  <c r="D57" i="2"/>
  <c r="D61" i="2"/>
  <c r="L61" i="2"/>
  <c r="L57" i="2"/>
  <c r="L58" i="2" s="1"/>
  <c r="N55" i="2" s="1"/>
  <c r="D30" i="2"/>
  <c r="D31" i="2"/>
  <c r="L30" i="2"/>
  <c r="L23" i="2"/>
  <c r="L22" i="2"/>
  <c r="D22" i="2"/>
  <c r="N65" i="2" l="1"/>
  <c r="L69" i="2" s="1"/>
  <c r="M67" i="2" s="1"/>
  <c r="Q3" i="1"/>
  <c r="G14" i="2" s="1"/>
  <c r="H14" i="2"/>
  <c r="Q2" i="1"/>
  <c r="G13" i="2" s="1"/>
  <c r="H13" i="2"/>
  <c r="D51" i="2"/>
  <c r="L32" i="2"/>
  <c r="N28" i="2" s="1"/>
  <c r="D32" i="2"/>
  <c r="D41" i="2"/>
  <c r="L41" i="2"/>
  <c r="N37" i="2" s="1"/>
  <c r="L42" i="2" s="1"/>
  <c r="D24" i="2"/>
  <c r="L24" i="2"/>
  <c r="P3" i="1" l="1"/>
  <c r="M3" i="1" s="1"/>
  <c r="E14" i="2" s="1"/>
  <c r="P2" i="1"/>
  <c r="F13" i="2" s="1"/>
  <c r="G15" i="2"/>
  <c r="H15" i="2"/>
  <c r="L33" i="2"/>
  <c r="F14" i="2" l="1"/>
  <c r="I14" i="2" s="1"/>
  <c r="M2" i="1"/>
  <c r="E13" i="2" s="1"/>
  <c r="I13" i="2" s="1"/>
  <c r="F50" i="2"/>
  <c r="M12" i="1"/>
  <c r="G71" i="2" s="1"/>
  <c r="H71" i="2" s="1"/>
  <c r="F40" i="2"/>
  <c r="F23" i="2"/>
  <c r="F71" i="2"/>
  <c r="F61" i="2"/>
  <c r="F31" i="2"/>
  <c r="F57" i="2"/>
  <c r="F15" i="2" l="1"/>
  <c r="E15" i="2"/>
  <c r="F30" i="2"/>
  <c r="M9" i="1"/>
  <c r="G49" i="2" s="1"/>
  <c r="H49" i="2" s="1"/>
  <c r="I49" i="2" s="1"/>
  <c r="F49" i="2"/>
  <c r="M8" i="1"/>
  <c r="G30" i="2" s="1"/>
  <c r="H30" i="2" s="1"/>
  <c r="F22" i="2"/>
  <c r="F39" i="2"/>
  <c r="F67" i="2"/>
  <c r="G31" i="2"/>
  <c r="H31" i="2" s="1"/>
  <c r="G50" i="2"/>
  <c r="H50" i="2" s="1"/>
  <c r="G61" i="2"/>
  <c r="H61" i="2" s="1"/>
  <c r="G23" i="2"/>
  <c r="H23" i="2" s="1"/>
  <c r="G40" i="2"/>
  <c r="H40" i="2" s="1"/>
  <c r="I15" i="2"/>
  <c r="L59" i="2"/>
  <c r="M57" i="2" s="1"/>
  <c r="G67" i="2" l="1"/>
  <c r="H67" i="2" s="1"/>
  <c r="H68" i="2" s="1"/>
  <c r="D65" i="2" s="1"/>
  <c r="H69" i="2" s="1"/>
  <c r="I67" i="2" s="1"/>
  <c r="G57" i="2"/>
  <c r="H57" i="2" s="1"/>
  <c r="H58" i="2" s="1"/>
  <c r="D55" i="2" s="1"/>
  <c r="H59" i="2" s="1"/>
  <c r="I57" i="2" s="1"/>
  <c r="H32" i="2"/>
  <c r="G39" i="2"/>
  <c r="H39" i="2" s="1"/>
  <c r="H41" i="2" s="1"/>
  <c r="D37" i="2" s="1"/>
  <c r="H42" i="2" s="1"/>
  <c r="G22" i="2"/>
  <c r="H22" i="2" s="1"/>
  <c r="H24" i="2" s="1"/>
  <c r="M24" i="2" s="1"/>
  <c r="H51" i="2"/>
  <c r="D28" i="2" l="1"/>
  <c r="H33" i="2" s="1"/>
  <c r="M33" i="2" s="1"/>
</calcChain>
</file>

<file path=xl/comments1.xml><?xml version="1.0" encoding="utf-8"?>
<comments xmlns="http://schemas.openxmlformats.org/spreadsheetml/2006/main">
  <authors>
    <author>K_joy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K_joy:</t>
        </r>
        <r>
          <rPr>
            <sz val="9"/>
            <color indexed="81"/>
            <rFont val="Tahoma"/>
            <family val="2"/>
          </rPr>
          <t xml:space="preserve">
ผลประโยชน์ต้องมากกว่าหรือเท่ากับจำนวนงวดที่ต้องการชำระ มิฉะนั้นค่าต่างๆในไฟล์นี้จะไม่ถูกต้องหรือไม่สามารถใช้ได้
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K_joy:</t>
        </r>
        <r>
          <rPr>
            <sz val="9"/>
            <color indexed="81"/>
            <rFont val="Tahoma"/>
            <family val="2"/>
          </rPr>
          <t xml:space="preserve">
1. หากจ่ายเต็มจำนวน กล่าวคือไม่ผ่อนชำระ  ให้คีย์ตัวเลข 1 หรือเลือกตัวเลข 1
2. จำนวนงวดต้องน้อยกว่าหรือเท่ากับผลประโยชน์  มิฉะนั้นค่าต่างๆในไฟล์นี้จะไม่ถูกต้องหรือไม่สามารถใช้ได้</t>
        </r>
      </text>
    </comment>
  </commentList>
</comments>
</file>

<file path=xl/sharedStrings.xml><?xml version="1.0" encoding="utf-8"?>
<sst xmlns="http://schemas.openxmlformats.org/spreadsheetml/2006/main" count="295" uniqueCount="119">
  <si>
    <t>ผู้เอาประกันภัย</t>
  </si>
  <si>
    <t>สมาชิก</t>
  </si>
  <si>
    <t>เอกสาร</t>
  </si>
  <si>
    <t>หมายเหตุ สมาชิก</t>
  </si>
  <si>
    <t>หมายเหตุ ลูกค้า</t>
  </si>
  <si>
    <t>สำเนาได้</t>
  </si>
  <si>
    <t>Fee ชำระแยกเป็นเงินสด</t>
  </si>
  <si>
    <t>ประกันภัยไทยวิวัฒน์</t>
  </si>
  <si>
    <t>No</t>
  </si>
  <si>
    <t>(Strict)</t>
  </si>
  <si>
    <t>** อนุโลมไม่เสียค่าธรรมเนียมเมื่อส่งตัดบัตรพร้อมแจ้งงานเลยในวันนั้น**</t>
  </si>
  <si>
    <t xml:space="preserve">สงวนสิทธิ์ </t>
  </si>
  <si>
    <t>สงวนสิทธิ์รูดบัตรเฉพาะลูกค้าเท่านั้น</t>
  </si>
  <si>
    <t>รูดเต็มจำนวนเท่านั้นและต้องตรวจรถผ่านก่อนถึงรูด</t>
  </si>
  <si>
    <t>รูดเต็มจำนวนเท่านั้น</t>
  </si>
  <si>
    <t>ไทยประกันภัย</t>
  </si>
  <si>
    <t>สงวนสิทธิ์</t>
  </si>
  <si>
    <t>วิริยะประกันภัย</t>
  </si>
  <si>
    <t>บริษัท</t>
  </si>
  <si>
    <t>เบี้ยสุทธิ</t>
  </si>
  <si>
    <t>การคำนวณยอดเงินที่ต้องชำระ</t>
  </si>
  <si>
    <t>เบี้ยประกันภัย</t>
  </si>
  <si>
    <t>เบี้ยประกันภัยภาคสมัครใจ</t>
  </si>
  <si>
    <t>เบี้ยประกันภัยภาคบังคับ(พ.ร.บ.)</t>
  </si>
  <si>
    <t>ผลประโยชน์</t>
  </si>
  <si>
    <t>จำนวนงวด</t>
  </si>
  <si>
    <t>บริษัทประกันภัย</t>
  </si>
  <si>
    <t>รายละเอียดการชำระเงิน</t>
  </si>
  <si>
    <t>ชำระแบบเต็มจำนวน</t>
  </si>
  <si>
    <t>เบี้ยเต็ม</t>
  </si>
  <si>
    <t>ค่าคอม</t>
  </si>
  <si>
    <t xml:space="preserve">ค่าคอมที่ได้รับ </t>
  </si>
  <si>
    <t>เบี้ยนำส่ง</t>
  </si>
  <si>
    <t>เงินที่ต้องชำระ</t>
  </si>
  <si>
    <t>ภาคสมัครใจ</t>
  </si>
  <si>
    <t>พรบ.</t>
  </si>
  <si>
    <t>ให้ส่วนลดได้ต้องไม่ต่ำกว่า</t>
  </si>
  <si>
    <t>รวม</t>
  </si>
  <si>
    <t>เบี้ยประเภท</t>
  </si>
  <si>
    <t>เบี้ยพรบ.</t>
  </si>
  <si>
    <t>ค่าคอมเงินสด</t>
  </si>
  <si>
    <t>ค่าคอมผ่อน</t>
  </si>
  <si>
    <t>ประเภท</t>
  </si>
  <si>
    <t>%</t>
  </si>
  <si>
    <t>จำนวน</t>
  </si>
  <si>
    <t>ค่าคอมพรบ.</t>
  </si>
  <si>
    <t>%ค่าคอม</t>
  </si>
  <si>
    <t>บาท</t>
  </si>
  <si>
    <t>ชำระค่าธรรมเนียมพร้อมรูดบัตร=</t>
  </si>
  <si>
    <t xml:space="preserve">หมายเหตุ : </t>
  </si>
  <si>
    <t>-</t>
  </si>
  <si>
    <t>ชำระแบบผ่อน</t>
  </si>
  <si>
    <t xml:space="preserve">ค่าธรรมเนียมผ่อน 2% =   </t>
  </si>
  <si>
    <t>งวดแรก+fee</t>
  </si>
  <si>
    <t>งวดถัดไป</t>
  </si>
  <si>
    <t>ยอดที่ใช้รูด</t>
  </si>
  <si>
    <t>ชำระงวดละ</t>
  </si>
  <si>
    <t>ยอดที่ต้องรูดบัตรเครดิต(เฉพาะประเภทเท่านั้น)</t>
  </si>
  <si>
    <t>พรบ.ต้องจ่ายแยกจากยอดที่รูด</t>
  </si>
  <si>
    <t>จ่ายแยกจากยอดรูด</t>
  </si>
  <si>
    <t xml:space="preserve">ค่าธรรมเนียมผ่อน 3% =   </t>
  </si>
  <si>
    <t xml:space="preserve">ค่าธรรมเนียม =    </t>
  </si>
  <si>
    <t xml:space="preserve">ค่าธรรมเนียม = </t>
  </si>
  <si>
    <t>ไม่สามารถรูดบัตรเข้าบริษัทประกันได้</t>
  </si>
  <si>
    <t>สำหรับสมาชิก</t>
  </si>
  <si>
    <t>สำหรับลูกค้า</t>
  </si>
  <si>
    <t>กรุณากรอกข้อมูลเฉพาะช่องสีส้มเท่านั้น</t>
  </si>
  <si>
    <t xml:space="preserve">ค่าธรรมเนียมผ่อน  =   </t>
  </si>
  <si>
    <t>***ค่าธรรมเนียมคิดจากยอดหักคอม***</t>
  </si>
  <si>
    <t>ยอดรวมเบี้ยนำส่ง + ค่าธรรมเนียม (*** ทั้งนี้ขึ้นอยู่กับเงื่อนไขบริษัท***)</t>
  </si>
  <si>
    <t>ผ่อนเงินสด</t>
  </si>
  <si>
    <t>ชำระแบบเงินสด(เต็มจำนวน)</t>
  </si>
  <si>
    <t>ชำระผ่าน MAIL ORDER บริษัทประกันภัย (เต็มจำนวน)</t>
  </si>
  <si>
    <t>ผ่อนผ่านบัตรเครดิต MAIL ORDER SRIKRUNG</t>
  </si>
  <si>
    <t>ผ่อนผ่านบัตรเครดิต K-Payment Gateway(เฉพาะบัตรเครดิตกสิกรไทยเท่านั้น)</t>
  </si>
  <si>
    <t>รูดเต็มจำนวนเท่านั้น, สงวนสิทธิ์เฉพาะลูกค้าบุคคลธรรมดาเท่านั้น</t>
  </si>
  <si>
    <t>WWW.SRIKRUNGBROKER.CO.TH</t>
  </si>
  <si>
    <t>TEL : 02-867-3888</t>
  </si>
  <si>
    <t>Created by : Srikrung Broker Co.,Ltd</t>
  </si>
  <si>
    <t>อาคเนย์ประกันภัย</t>
  </si>
  <si>
    <t>อลิอันซ์.ซี.พี.ประกันภัย</t>
  </si>
  <si>
    <t>เอ็มเอสไอจีประกันภัย</t>
  </si>
  <si>
    <t>สินมั่นคงประกันภัย</t>
  </si>
  <si>
    <t>เอเชียประกันภัย 1950</t>
  </si>
  <si>
    <t>ประกันคุ้มภัย</t>
  </si>
  <si>
    <t>แอลเอ็มจีประกันภัย</t>
  </si>
  <si>
    <t>โตเกียวมารีนประกันภัย</t>
  </si>
  <si>
    <t>เมืองไทยประกันภัย</t>
  </si>
  <si>
    <t>เทเวศประกันภัย</t>
  </si>
  <si>
    <t>ไทยศรีประกันภัย</t>
  </si>
  <si>
    <t>ไทยเศรษฐกิจประกันภัย</t>
  </si>
  <si>
    <t>อินทรประกันภัย</t>
  </si>
  <si>
    <t>นำสินประกันภัย</t>
  </si>
  <si>
    <t>ศรีอยุธยาเจนเนอรัลประกันภัย</t>
  </si>
  <si>
    <t>เคเอสเคประกันภัย</t>
  </si>
  <si>
    <t>เจ้าพระยาประกันภัย</t>
  </si>
  <si>
    <t>กรุงเทพประกันภัย</t>
  </si>
  <si>
    <t>ทิพยประกันภัย</t>
  </si>
  <si>
    <t>ไทยไพบูลย์ประกันภัย</t>
  </si>
  <si>
    <t>ไทยพาณิชย์สามัคคีประกันภัย</t>
  </si>
  <si>
    <t>แอกซ่าประกันภัย</t>
  </si>
  <si>
    <t>ไอโออิกรุงเทพประกันภัย</t>
  </si>
  <si>
    <t>คิวบีอีประกันภัย</t>
  </si>
  <si>
    <t>สินทรัพย์ประกันภัย</t>
  </si>
  <si>
    <t>กรุงไทยพานิชประกันภัย</t>
  </si>
  <si>
    <t>เอไอจีประกันภัย</t>
  </si>
  <si>
    <t>เจนเนอราลี่ประกันภัย</t>
  </si>
  <si>
    <t>VAT</t>
  </si>
  <si>
    <t>อากร</t>
  </si>
  <si>
    <t>เบี้ยรวม</t>
  </si>
  <si>
    <t>ภาษีมูลค่าเพิ่ม</t>
  </si>
  <si>
    <t>อากรแสตมป์</t>
  </si>
  <si>
    <t>FEE ชำระรวมกับยอดที่รูดเท่านั้น (Strict)</t>
  </si>
  <si>
    <t>แนบสำเนาบัตรเครดิตด้วย(ควรแจ้งงานก่อนล่วงหน้า)</t>
  </si>
  <si>
    <t xml:space="preserve">ค่าธรรมเนียม 2.5% =   </t>
  </si>
  <si>
    <t>ชำระผ่านบัตรเครดิต MAIL ORDER SRIKRUNG (เต็มจำนวน)</t>
  </si>
  <si>
    <t>ยอดรูด 100,000 บาทแรกไม่เสียค่าธรรมเนียม (ส่วนที่เกินจาก 100,000 บาท สงวนสิทธิ์ในการเก็บค่าธรรมเนียม 2%)</t>
  </si>
  <si>
    <t>(Update : 10/02/2017)</t>
  </si>
  <si>
    <r>
      <t>ผ่อนผ่านบัตรเครดิต MAIL ORDER SRIKRUNG</t>
    </r>
    <r>
      <rPr>
        <b/>
        <sz val="11"/>
        <rFont val="Calibri"/>
        <family val="2"/>
        <scheme val="minor"/>
      </rPr>
      <t>(เฉพาะบัตรเครดิตกสิกรไทย, กรุงศรี, กรุงไทย, ซิตี้แบงค์, ไทยพาณิชย์เท่านั้น)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</si>
</sst>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name val="AngsanaUPC"/>
      <family val="1"/>
      <charset val="222"/>
    </font>
    <font>
      <sz val="12"/>
      <color indexed="8"/>
      <name val="AngsanaUPC"/>
      <family val="1"/>
      <charset val="22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22"/>
      <scheme val="minor"/>
    </font>
    <font>
      <sz val="12"/>
      <color theme="1"/>
      <name val="Calibri"/>
      <family val="2"/>
      <charset val="22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name val="AngsanaUPC"/>
      <family val="1"/>
      <charset val="222"/>
    </font>
    <font>
      <sz val="12"/>
      <name val="Calibri"/>
      <family val="2"/>
      <charset val="222"/>
      <scheme val="minor"/>
    </font>
    <font>
      <sz val="10"/>
      <name val="Calibri"/>
      <family val="2"/>
      <charset val="22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222"/>
      <scheme val="minor"/>
    </font>
    <font>
      <b/>
      <u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charset val="222"/>
      <scheme val="minor"/>
    </font>
    <font>
      <b/>
      <sz val="16"/>
      <name val="Calibri"/>
      <family val="2"/>
      <scheme val="minor"/>
    </font>
    <font>
      <sz val="12"/>
      <color rgb="FFFFFF0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  <font>
      <b/>
      <u/>
      <sz val="11"/>
      <color theme="10"/>
      <name val="Tahoma"/>
      <family val="2"/>
    </font>
    <font>
      <b/>
      <sz val="11"/>
      <color theme="10"/>
      <name val="Tahoma"/>
      <family val="2"/>
    </font>
    <font>
      <b/>
      <sz val="12"/>
      <color rgb="FFF27D3C"/>
      <name val="Calibri"/>
      <family val="2"/>
      <scheme val="minor"/>
    </font>
    <font>
      <b/>
      <u/>
      <sz val="12"/>
      <color rgb="FFF27D3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ngsanaUPC"/>
      <family val="1"/>
      <charset val="222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charset val="222"/>
      <scheme val="minor"/>
    </font>
    <font>
      <sz val="14"/>
      <color theme="0"/>
      <name val="AngsanaUPC"/>
      <family val="1"/>
      <charset val="222"/>
    </font>
    <font>
      <b/>
      <sz val="11"/>
      <color theme="0"/>
      <name val="AngsanaUPC"/>
      <family val="1"/>
      <charset val="222"/>
    </font>
    <font>
      <b/>
      <sz val="12"/>
      <color theme="0"/>
      <name val="AngsanaUPC"/>
      <family val="1"/>
      <charset val="222"/>
    </font>
    <font>
      <b/>
      <sz val="16"/>
      <color theme="0"/>
      <name val="AngsanaUPC"/>
      <family val="1"/>
      <charset val="222"/>
    </font>
    <font>
      <sz val="16"/>
      <color theme="0"/>
      <name val="AngsanaUPC"/>
      <family val="1"/>
      <charset val="222"/>
    </font>
    <font>
      <b/>
      <sz val="16"/>
      <color theme="0"/>
      <name val="AngsanaUPC"/>
      <family val="1"/>
    </font>
    <font>
      <b/>
      <sz val="12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7D3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0" fontId="6" fillId="8" borderId="0" xfId="0" applyFont="1" applyFill="1" applyProtection="1">
      <protection hidden="1"/>
    </xf>
    <xf numFmtId="0" fontId="11" fillId="2" borderId="18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11" fillId="2" borderId="19" xfId="0" applyFont="1" applyFill="1" applyBorder="1" applyProtection="1">
      <protection hidden="1"/>
    </xf>
    <xf numFmtId="0" fontId="6" fillId="2" borderId="19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6" fillId="6" borderId="18" xfId="0" applyFont="1" applyFill="1" applyBorder="1" applyProtection="1">
      <protection hidden="1"/>
    </xf>
    <xf numFmtId="0" fontId="16" fillId="6" borderId="0" xfId="0" applyFont="1" applyFill="1" applyBorder="1" applyProtection="1">
      <protection hidden="1"/>
    </xf>
    <xf numFmtId="0" fontId="16" fillId="6" borderId="19" xfId="0" applyFont="1" applyFill="1" applyBorder="1" applyProtection="1">
      <protection hidden="1"/>
    </xf>
    <xf numFmtId="0" fontId="8" fillId="6" borderId="19" xfId="0" applyFont="1" applyFill="1" applyBorder="1" applyProtection="1">
      <protection hidden="1"/>
    </xf>
    <xf numFmtId="0" fontId="8" fillId="6" borderId="0" xfId="0" applyFont="1" applyFill="1" applyProtection="1"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center"/>
      <protection hidden="1"/>
    </xf>
    <xf numFmtId="0" fontId="11" fillId="2" borderId="19" xfId="0" applyFont="1" applyFill="1" applyBorder="1" applyAlignment="1" applyProtection="1">
      <alignment horizontal="center"/>
      <protection hidden="1"/>
    </xf>
    <xf numFmtId="164" fontId="11" fillId="2" borderId="4" xfId="1" applyNumberFormat="1" applyFont="1" applyFill="1" applyBorder="1" applyAlignment="1" applyProtection="1">
      <alignment horizontal="center"/>
      <protection hidden="1"/>
    </xf>
    <xf numFmtId="9" fontId="11" fillId="2" borderId="4" xfId="1" applyNumberFormat="1" applyFont="1" applyFill="1" applyBorder="1" applyAlignment="1" applyProtection="1">
      <alignment horizontal="center"/>
      <protection hidden="1"/>
    </xf>
    <xf numFmtId="165" fontId="11" fillId="2" borderId="4" xfId="1" applyNumberFormat="1" applyFont="1" applyFill="1" applyBorder="1" applyAlignment="1" applyProtection="1">
      <alignment horizontal="center"/>
      <protection hidden="1"/>
    </xf>
    <xf numFmtId="164" fontId="11" fillId="2" borderId="0" xfId="1" applyNumberFormat="1" applyFont="1" applyFill="1" applyBorder="1" applyAlignment="1" applyProtection="1">
      <alignment horizontal="center"/>
      <protection hidden="1"/>
    </xf>
    <xf numFmtId="164" fontId="11" fillId="2" borderId="19" xfId="1" applyNumberFormat="1" applyFont="1" applyFill="1" applyBorder="1" applyAlignment="1" applyProtection="1">
      <alignment horizontal="center"/>
      <protection hidden="1"/>
    </xf>
    <xf numFmtId="164" fontId="11" fillId="2" borderId="4" xfId="1" applyFont="1" applyFill="1" applyBorder="1" applyProtection="1">
      <protection hidden="1"/>
    </xf>
    <xf numFmtId="9" fontId="11" fillId="2" borderId="0" xfId="1" applyNumberFormat="1" applyFont="1" applyFill="1" applyBorder="1" applyAlignment="1" applyProtection="1">
      <alignment horizontal="center"/>
      <protection hidden="1"/>
    </xf>
    <xf numFmtId="0" fontId="11" fillId="2" borderId="4" xfId="1" applyNumberFormat="1" applyFont="1" applyFill="1" applyBorder="1" applyAlignment="1" applyProtection="1">
      <alignment horizontal="center"/>
      <protection hidden="1"/>
    </xf>
    <xf numFmtId="164" fontId="4" fillId="2" borderId="13" xfId="1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Protection="1">
      <protection hidden="1"/>
    </xf>
    <xf numFmtId="0" fontId="11" fillId="2" borderId="18" xfId="0" applyFont="1" applyFill="1" applyBorder="1" applyAlignment="1" applyProtection="1">
      <alignment horizontal="center"/>
      <protection hidden="1"/>
    </xf>
    <xf numFmtId="0" fontId="11" fillId="2" borderId="0" xfId="1" applyNumberFormat="1" applyFont="1" applyFill="1" applyBorder="1" applyAlignment="1" applyProtection="1">
      <alignment horizontal="center"/>
      <protection hidden="1"/>
    </xf>
    <xf numFmtId="165" fontId="11" fillId="2" borderId="0" xfId="1" applyNumberFormat="1" applyFont="1" applyFill="1" applyBorder="1" applyAlignment="1" applyProtection="1">
      <alignment horizontal="center"/>
      <protection hidden="1"/>
    </xf>
    <xf numFmtId="164" fontId="11" fillId="2" borderId="0" xfId="0" applyNumberFormat="1" applyFont="1" applyFill="1" applyBorder="1" applyProtection="1">
      <protection hidden="1"/>
    </xf>
    <xf numFmtId="0" fontId="16" fillId="6" borderId="18" xfId="0" applyFont="1" applyFill="1" applyBorder="1" applyAlignment="1" applyProtection="1">
      <alignment horizontal="left"/>
      <protection hidden="1"/>
    </xf>
    <xf numFmtId="0" fontId="16" fillId="6" borderId="0" xfId="0" applyFont="1" applyFill="1" applyBorder="1" applyAlignment="1" applyProtection="1">
      <alignment horizontal="center"/>
      <protection hidden="1"/>
    </xf>
    <xf numFmtId="0" fontId="16" fillId="6" borderId="0" xfId="0" applyFont="1" applyFill="1" applyBorder="1" applyAlignment="1" applyProtection="1">
      <alignment horizontal="left"/>
      <protection hidden="1"/>
    </xf>
    <xf numFmtId="164" fontId="16" fillId="6" borderId="0" xfId="1" applyNumberFormat="1" applyFont="1" applyFill="1" applyBorder="1" applyAlignment="1" applyProtection="1">
      <alignment horizontal="center"/>
      <protection hidden="1"/>
    </xf>
    <xf numFmtId="0" fontId="16" fillId="6" borderId="0" xfId="1" applyNumberFormat="1" applyFont="1" applyFill="1" applyBorder="1" applyAlignment="1" applyProtection="1">
      <alignment horizontal="center"/>
      <protection hidden="1"/>
    </xf>
    <xf numFmtId="165" fontId="16" fillId="6" borderId="0" xfId="1" applyNumberFormat="1" applyFont="1" applyFill="1" applyBorder="1" applyAlignment="1" applyProtection="1">
      <alignment horizontal="left"/>
      <protection hidden="1"/>
    </xf>
    <xf numFmtId="165" fontId="16" fillId="6" borderId="0" xfId="1" applyNumberFormat="1" applyFont="1" applyFill="1" applyBorder="1" applyAlignment="1" applyProtection="1">
      <alignment horizontal="center"/>
      <protection hidden="1"/>
    </xf>
    <xf numFmtId="164" fontId="16" fillId="6" borderId="19" xfId="1" applyNumberFormat="1" applyFont="1" applyFill="1" applyBorder="1" applyAlignment="1" applyProtection="1">
      <alignment horizontal="center"/>
      <protection hidden="1"/>
    </xf>
    <xf numFmtId="164" fontId="16" fillId="6" borderId="0" xfId="1" applyFont="1" applyFill="1" applyBorder="1" applyAlignment="1" applyProtection="1">
      <alignment horizontal="center"/>
      <protection hidden="1"/>
    </xf>
    <xf numFmtId="0" fontId="11" fillId="3" borderId="18" xfId="0" applyFont="1" applyFill="1" applyBorder="1" applyProtection="1">
      <protection hidden="1"/>
    </xf>
    <xf numFmtId="0" fontId="11" fillId="3" borderId="0" xfId="0" applyFont="1" applyFill="1" applyBorder="1" applyProtection="1">
      <protection hidden="1"/>
    </xf>
    <xf numFmtId="164" fontId="11" fillId="3" borderId="0" xfId="0" applyNumberFormat="1" applyFont="1" applyFill="1" applyBorder="1" applyProtection="1">
      <protection hidden="1"/>
    </xf>
    <xf numFmtId="0" fontId="11" fillId="3" borderId="19" xfId="0" applyFont="1" applyFill="1" applyBorder="1" applyProtection="1">
      <protection hidden="1"/>
    </xf>
    <xf numFmtId="0" fontId="6" fillId="3" borderId="19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164" fontId="11" fillId="2" borderId="4" xfId="0" applyNumberFormat="1" applyFont="1" applyFill="1" applyBorder="1" applyProtection="1">
      <protection hidden="1"/>
    </xf>
    <xf numFmtId="0" fontId="11" fillId="2" borderId="18" xfId="0" applyFont="1" applyFill="1" applyBorder="1" applyAlignment="1" applyProtection="1">
      <alignment horizontal="left"/>
      <protection hidden="1"/>
    </xf>
    <xf numFmtId="164" fontId="4" fillId="2" borderId="9" xfId="1" applyNumberFormat="1" applyFont="1" applyFill="1" applyBorder="1" applyAlignment="1" applyProtection="1">
      <alignment horizontal="center"/>
      <protection hidden="1"/>
    </xf>
    <xf numFmtId="164" fontId="4" fillId="2" borderId="9" xfId="0" applyNumberFormat="1" applyFont="1" applyFill="1" applyBorder="1" applyProtection="1">
      <protection hidden="1"/>
    </xf>
    <xf numFmtId="0" fontId="13" fillId="6" borderId="18" xfId="0" applyFont="1" applyFill="1" applyBorder="1" applyAlignment="1" applyProtection="1">
      <alignment horizontal="left"/>
      <protection hidden="1"/>
    </xf>
    <xf numFmtId="0" fontId="13" fillId="6" borderId="0" xfId="0" applyFont="1" applyFill="1" applyBorder="1" applyAlignment="1" applyProtection="1">
      <alignment horizontal="center"/>
      <protection hidden="1"/>
    </xf>
    <xf numFmtId="0" fontId="13" fillId="6" borderId="0" xfId="0" applyFont="1" applyFill="1" applyBorder="1" applyAlignment="1" applyProtection="1">
      <alignment horizontal="left"/>
      <protection hidden="1"/>
    </xf>
    <xf numFmtId="164" fontId="13" fillId="6" borderId="0" xfId="1" applyNumberFormat="1" applyFont="1" applyFill="1" applyBorder="1" applyAlignment="1" applyProtection="1">
      <alignment horizontal="center"/>
      <protection hidden="1"/>
    </xf>
    <xf numFmtId="0" fontId="13" fillId="6" borderId="0" xfId="1" applyNumberFormat="1" applyFont="1" applyFill="1" applyBorder="1" applyAlignment="1" applyProtection="1">
      <alignment horizontal="center"/>
      <protection hidden="1"/>
    </xf>
    <xf numFmtId="165" fontId="13" fillId="6" borderId="0" xfId="1" applyNumberFormat="1" applyFont="1" applyFill="1" applyBorder="1" applyAlignment="1" applyProtection="1">
      <alignment horizontal="left"/>
      <protection hidden="1"/>
    </xf>
    <xf numFmtId="165" fontId="13" fillId="6" borderId="0" xfId="1" applyNumberFormat="1" applyFont="1" applyFill="1" applyBorder="1" applyAlignment="1" applyProtection="1">
      <alignment horizontal="center"/>
      <protection hidden="1"/>
    </xf>
    <xf numFmtId="164" fontId="13" fillId="6" borderId="19" xfId="1" applyNumberFormat="1" applyFont="1" applyFill="1" applyBorder="1" applyAlignment="1" applyProtection="1">
      <alignment horizontal="center"/>
      <protection hidden="1"/>
    </xf>
    <xf numFmtId="0" fontId="13" fillId="6" borderId="0" xfId="0" applyFont="1" applyFill="1" applyBorder="1" applyProtection="1">
      <protection hidden="1"/>
    </xf>
    <xf numFmtId="0" fontId="9" fillId="6" borderId="19" xfId="0" applyFont="1" applyFill="1" applyBorder="1" applyProtection="1">
      <protection hidden="1"/>
    </xf>
    <xf numFmtId="0" fontId="9" fillId="0" borderId="0" xfId="0" applyFont="1" applyFill="1" applyProtection="1">
      <protection hidden="1"/>
    </xf>
    <xf numFmtId="0" fontId="9" fillId="6" borderId="0" xfId="0" applyFont="1" applyFill="1" applyProtection="1">
      <protection hidden="1"/>
    </xf>
    <xf numFmtId="10" fontId="11" fillId="3" borderId="0" xfId="0" applyNumberFormat="1" applyFont="1" applyFill="1" applyBorder="1" applyAlignment="1" applyProtection="1">
      <alignment horizontal="center"/>
      <protection hidden="1"/>
    </xf>
    <xf numFmtId="9" fontId="11" fillId="3" borderId="0" xfId="0" applyNumberFormat="1" applyFont="1" applyFill="1" applyBorder="1" applyProtection="1">
      <protection hidden="1"/>
    </xf>
    <xf numFmtId="10" fontId="11" fillId="3" borderId="0" xfId="0" applyNumberFormat="1" applyFont="1" applyFill="1" applyBorder="1" applyProtection="1">
      <protection hidden="1"/>
    </xf>
    <xf numFmtId="164" fontId="4" fillId="2" borderId="4" xfId="0" applyNumberFormat="1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11" fillId="4" borderId="18" xfId="0" applyFont="1" applyFill="1" applyBorder="1" applyProtection="1">
      <protection hidden="1"/>
    </xf>
    <xf numFmtId="0" fontId="11" fillId="4" borderId="0" xfId="0" applyFont="1" applyFill="1" applyBorder="1" applyProtection="1">
      <protection hidden="1"/>
    </xf>
    <xf numFmtId="0" fontId="11" fillId="4" borderId="19" xfId="0" applyFont="1" applyFill="1" applyBorder="1" applyProtection="1">
      <protection hidden="1"/>
    </xf>
    <xf numFmtId="0" fontId="6" fillId="4" borderId="19" xfId="0" applyFont="1" applyFill="1" applyBorder="1" applyProtection="1">
      <protection hidden="1"/>
    </xf>
    <xf numFmtId="0" fontId="6" fillId="4" borderId="0" xfId="0" applyFont="1" applyFill="1" applyProtection="1">
      <protection hidden="1"/>
    </xf>
    <xf numFmtId="0" fontId="17" fillId="6" borderId="0" xfId="0" applyFont="1" applyFill="1" applyBorder="1" applyAlignment="1" applyProtection="1">
      <alignment horizontal="center"/>
      <protection hidden="1"/>
    </xf>
    <xf numFmtId="0" fontId="14" fillId="6" borderId="0" xfId="0" applyFont="1" applyFill="1" applyBorder="1" applyAlignment="1" applyProtection="1">
      <alignment horizontal="right"/>
      <protection hidden="1"/>
    </xf>
    <xf numFmtId="0" fontId="17" fillId="6" borderId="19" xfId="0" applyFont="1" applyFill="1" applyBorder="1" applyAlignment="1" applyProtection="1">
      <alignment horizontal="center"/>
      <protection hidden="1"/>
    </xf>
    <xf numFmtId="0" fontId="7" fillId="6" borderId="19" xfId="0" applyFont="1" applyFill="1" applyBorder="1" applyAlignment="1" applyProtection="1">
      <alignment horizontal="center"/>
      <protection hidden="1"/>
    </xf>
    <xf numFmtId="0" fontId="25" fillId="3" borderId="0" xfId="0" applyFont="1" applyFill="1" applyBorder="1" applyProtection="1"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164" fontId="11" fillId="4" borderId="4" xfId="1" applyNumberFormat="1" applyFont="1" applyFill="1" applyBorder="1" applyAlignment="1" applyProtection="1">
      <alignment horizontal="center"/>
      <protection hidden="1"/>
    </xf>
    <xf numFmtId="9" fontId="11" fillId="4" borderId="4" xfId="1" applyNumberFormat="1" applyFont="1" applyFill="1" applyBorder="1" applyAlignment="1" applyProtection="1">
      <alignment horizontal="center" wrapText="1"/>
      <protection hidden="1"/>
    </xf>
    <xf numFmtId="164" fontId="11" fillId="4" borderId="1" xfId="1" applyNumberFormat="1" applyFont="1" applyFill="1" applyBorder="1" applyAlignment="1" applyProtection="1">
      <alignment horizontal="center" wrapText="1"/>
      <protection hidden="1"/>
    </xf>
    <xf numFmtId="164" fontId="11" fillId="4" borderId="19" xfId="1" applyNumberFormat="1" applyFont="1" applyFill="1" applyBorder="1" applyAlignment="1" applyProtection="1">
      <alignment horizontal="center"/>
      <protection hidden="1"/>
    </xf>
    <xf numFmtId="164" fontId="4" fillId="4" borderId="10" xfId="1" applyNumberFormat="1" applyFont="1" applyFill="1" applyBorder="1" applyAlignment="1" applyProtection="1">
      <alignment horizontal="center"/>
      <protection hidden="1"/>
    </xf>
    <xf numFmtId="9" fontId="11" fillId="4" borderId="10" xfId="1" applyNumberFormat="1" applyFont="1" applyFill="1" applyBorder="1" applyAlignment="1" applyProtection="1">
      <alignment horizontal="center"/>
      <protection hidden="1"/>
    </xf>
    <xf numFmtId="164" fontId="11" fillId="4" borderId="1" xfId="1" applyNumberFormat="1" applyFont="1" applyFill="1" applyBorder="1" applyAlignment="1" applyProtection="1">
      <alignment horizontal="center"/>
      <protection hidden="1"/>
    </xf>
    <xf numFmtId="164" fontId="11" fillId="4" borderId="12" xfId="1" applyNumberFormat="1" applyFont="1" applyFill="1" applyBorder="1" applyAlignment="1" applyProtection="1">
      <protection hidden="1"/>
    </xf>
    <xf numFmtId="164" fontId="11" fillId="4" borderId="12" xfId="1" applyNumberFormat="1" applyFont="1" applyFill="1" applyBorder="1" applyAlignment="1" applyProtection="1">
      <alignment horizontal="center"/>
      <protection hidden="1"/>
    </xf>
    <xf numFmtId="165" fontId="11" fillId="4" borderId="3" xfId="1" applyNumberFormat="1" applyFont="1" applyFill="1" applyBorder="1" applyAlignment="1" applyProtection="1">
      <alignment horizontal="center"/>
      <protection hidden="1"/>
    </xf>
    <xf numFmtId="164" fontId="4" fillId="4" borderId="14" xfId="1" applyNumberFormat="1" applyFont="1" applyFill="1" applyBorder="1" applyAlignment="1" applyProtection="1">
      <alignment horizontal="center"/>
      <protection hidden="1"/>
    </xf>
    <xf numFmtId="164" fontId="11" fillId="4" borderId="11" xfId="1" applyNumberFormat="1" applyFont="1" applyFill="1" applyBorder="1" applyAlignment="1" applyProtection="1">
      <alignment horizontal="center"/>
      <protection hidden="1"/>
    </xf>
    <xf numFmtId="164" fontId="11" fillId="4" borderId="4" xfId="1" applyNumberFormat="1" applyFont="1" applyFill="1" applyBorder="1" applyAlignment="1" applyProtection="1">
      <alignment horizontal="center" wrapText="1"/>
      <protection hidden="1"/>
    </xf>
    <xf numFmtId="164" fontId="11" fillId="4" borderId="2" xfId="1" applyNumberFormat="1" applyFont="1" applyFill="1" applyBorder="1" applyAlignment="1" applyProtection="1">
      <alignment horizontal="center"/>
      <protection hidden="1"/>
    </xf>
    <xf numFmtId="164" fontId="4" fillId="4" borderId="9" xfId="0" applyNumberFormat="1" applyFont="1" applyFill="1" applyBorder="1" applyProtection="1">
      <protection hidden="1"/>
    </xf>
    <xf numFmtId="0" fontId="15" fillId="4" borderId="18" xfId="0" applyFont="1" applyFill="1" applyBorder="1" applyProtection="1">
      <protection hidden="1"/>
    </xf>
    <xf numFmtId="0" fontId="14" fillId="4" borderId="0" xfId="0" applyFont="1" applyFill="1" applyBorder="1" applyProtection="1">
      <protection hidden="1"/>
    </xf>
    <xf numFmtId="9" fontId="11" fillId="4" borderId="4" xfId="1" applyNumberFormat="1" applyFont="1" applyFill="1" applyBorder="1" applyAlignment="1" applyProtection="1">
      <alignment horizontal="center"/>
      <protection hidden="1"/>
    </xf>
    <xf numFmtId="164" fontId="4" fillId="4" borderId="13" xfId="1" applyNumberFormat="1" applyFont="1" applyFill="1" applyBorder="1" applyAlignment="1" applyProtection="1">
      <alignment horizontal="center"/>
      <protection hidden="1"/>
    </xf>
    <xf numFmtId="164" fontId="20" fillId="4" borderId="4" xfId="1" applyNumberFormat="1" applyFont="1" applyFill="1" applyBorder="1" applyAlignment="1" applyProtection="1">
      <alignment horizontal="center"/>
      <protection hidden="1"/>
    </xf>
    <xf numFmtId="164" fontId="4" fillId="4" borderId="4" xfId="1" applyNumberFormat="1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Protection="1">
      <protection hidden="1"/>
    </xf>
    <xf numFmtId="0" fontId="5" fillId="4" borderId="19" xfId="0" applyFont="1" applyFill="1" applyBorder="1" applyProtection="1">
      <protection hidden="1"/>
    </xf>
    <xf numFmtId="0" fontId="5" fillId="4" borderId="0" xfId="0" applyFont="1" applyFill="1" applyProtection="1">
      <protection hidden="1"/>
    </xf>
    <xf numFmtId="164" fontId="21" fillId="4" borderId="4" xfId="1" applyNumberFormat="1" applyFont="1" applyFill="1" applyBorder="1" applyAlignment="1" applyProtection="1">
      <alignment horizontal="center"/>
      <protection hidden="1"/>
    </xf>
    <xf numFmtId="0" fontId="6" fillId="4" borderId="22" xfId="0" applyFont="1" applyFill="1" applyBorder="1" applyProtection="1">
      <protection hidden="1"/>
    </xf>
    <xf numFmtId="0" fontId="6" fillId="4" borderId="23" xfId="0" applyFont="1" applyFill="1" applyBorder="1" applyProtection="1">
      <protection hidden="1"/>
    </xf>
    <xf numFmtId="0" fontId="6" fillId="4" borderId="24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0" xfId="0" applyFont="1" applyFill="1" applyBorder="1" applyAlignment="1" applyProtection="1">
      <alignment horizontal="left" vertical="center"/>
      <protection hidden="1"/>
    </xf>
    <xf numFmtId="0" fontId="2" fillId="6" borderId="0" xfId="0" applyNumberFormat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9" fontId="2" fillId="6" borderId="0" xfId="0" applyNumberFormat="1" applyFont="1" applyFill="1" applyBorder="1" applyAlignment="1" applyProtection="1">
      <alignment vertical="center"/>
      <protection hidden="1"/>
    </xf>
    <xf numFmtId="0" fontId="8" fillId="6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6" fillId="5" borderId="0" xfId="0" applyFont="1" applyFill="1" applyProtection="1">
      <protection hidden="1"/>
    </xf>
    <xf numFmtId="0" fontId="9" fillId="0" borderId="0" xfId="0" applyFont="1" applyProtection="1">
      <protection hidden="1"/>
    </xf>
    <xf numFmtId="14" fontId="9" fillId="0" borderId="0" xfId="0" applyNumberFormat="1" applyFont="1" applyProtection="1">
      <protection hidden="1"/>
    </xf>
    <xf numFmtId="0" fontId="11" fillId="2" borderId="22" xfId="0" applyFont="1" applyFill="1" applyBorder="1" applyProtection="1">
      <protection hidden="1"/>
    </xf>
    <xf numFmtId="0" fontId="11" fillId="2" borderId="23" xfId="0" applyFont="1" applyFill="1" applyBorder="1" applyProtection="1">
      <protection hidden="1"/>
    </xf>
    <xf numFmtId="0" fontId="11" fillId="2" borderId="24" xfId="0" applyFont="1" applyFill="1" applyBorder="1" applyProtection="1">
      <protection hidden="1"/>
    </xf>
    <xf numFmtId="0" fontId="6" fillId="2" borderId="24" xfId="0" applyFont="1" applyFill="1" applyBorder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28" fillId="0" borderId="0" xfId="2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34" fillId="0" borderId="4" xfId="0" applyFont="1" applyBorder="1" applyAlignment="1" applyProtection="1">
      <alignment vertical="center"/>
      <protection hidden="1"/>
    </xf>
    <xf numFmtId="0" fontId="34" fillId="0" borderId="1" xfId="0" applyFont="1" applyBorder="1" applyAlignment="1" applyProtection="1">
      <alignment vertical="center"/>
      <protection hidden="1"/>
    </xf>
    <xf numFmtId="0" fontId="34" fillId="0" borderId="2" xfId="0" applyFont="1" applyBorder="1" applyAlignment="1" applyProtection="1">
      <alignment vertical="center"/>
      <protection hidden="1"/>
    </xf>
    <xf numFmtId="0" fontId="34" fillId="0" borderId="3" xfId="0" applyFont="1" applyBorder="1" applyAlignment="1" applyProtection="1">
      <alignment vertical="center"/>
      <protection hidden="1"/>
    </xf>
    <xf numFmtId="164" fontId="14" fillId="0" borderId="4" xfId="1" applyFont="1" applyBorder="1" applyAlignment="1" applyProtection="1">
      <alignment horizontal="center" vertical="center"/>
      <protection hidden="1"/>
    </xf>
    <xf numFmtId="164" fontId="14" fillId="0" borderId="4" xfId="1" applyFont="1" applyBorder="1" applyAlignment="1" applyProtection="1">
      <alignment vertical="center"/>
      <protection hidden="1"/>
    </xf>
    <xf numFmtId="164" fontId="14" fillId="0" borderId="9" xfId="1" applyFont="1" applyBorder="1" applyAlignment="1" applyProtection="1">
      <alignment vertical="center"/>
      <protection hidden="1"/>
    </xf>
    <xf numFmtId="164" fontId="33" fillId="0" borderId="0" xfId="1" applyFont="1" applyBorder="1" applyProtection="1">
      <protection hidden="1"/>
    </xf>
    <xf numFmtId="164" fontId="6" fillId="9" borderId="4" xfId="1" applyFont="1" applyFill="1" applyBorder="1" applyProtection="1">
      <protection locked="0"/>
    </xf>
    <xf numFmtId="0" fontId="6" fillId="9" borderId="4" xfId="0" applyFont="1" applyFill="1" applyBorder="1" applyProtection="1">
      <protection locked="0"/>
    </xf>
    <xf numFmtId="0" fontId="6" fillId="9" borderId="1" xfId="0" applyFont="1" applyFill="1" applyBorder="1" applyProtection="1">
      <protection locked="0"/>
    </xf>
    <xf numFmtId="0" fontId="36" fillId="0" borderId="0" xfId="0" applyFont="1" applyFill="1" applyBorder="1" applyAlignment="1" applyProtection="1">
      <alignment horizontal="center"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35" fillId="0" borderId="0" xfId="0" applyFont="1" applyBorder="1" applyProtection="1"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left" vertical="center"/>
      <protection hidden="1"/>
    </xf>
    <xf numFmtId="0" fontId="39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164" fontId="35" fillId="0" borderId="0" xfId="1" applyFont="1" applyProtection="1">
      <protection hidden="1"/>
    </xf>
    <xf numFmtId="164" fontId="35" fillId="0" borderId="0" xfId="0" applyNumberFormat="1" applyFont="1" applyProtection="1">
      <protection hidden="1"/>
    </xf>
    <xf numFmtId="2" fontId="35" fillId="0" borderId="0" xfId="0" applyNumberFormat="1" applyFont="1" applyProtection="1">
      <protection hidden="1"/>
    </xf>
    <xf numFmtId="0" fontId="35" fillId="0" borderId="0" xfId="0" applyFont="1" applyFill="1" applyBorder="1" applyProtection="1">
      <protection hidden="1"/>
    </xf>
    <xf numFmtId="0" fontId="35" fillId="0" borderId="0" xfId="0" applyFont="1" applyFill="1" applyProtection="1">
      <protection hidden="1"/>
    </xf>
    <xf numFmtId="9" fontId="39" fillId="0" borderId="0" xfId="0" applyNumberFormat="1" applyFont="1" applyFill="1" applyBorder="1" applyAlignment="1" applyProtection="1">
      <alignment vertical="center"/>
      <protection hidden="1"/>
    </xf>
    <xf numFmtId="0" fontId="35" fillId="0" borderId="0" xfId="0" applyNumberFormat="1" applyFont="1" applyProtection="1"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6" fillId="9" borderId="4" xfId="0" applyFont="1" applyFill="1" applyBorder="1" applyAlignment="1" applyProtection="1">
      <alignment horizontal="center"/>
      <protection locked="0"/>
    </xf>
    <xf numFmtId="164" fontId="4" fillId="4" borderId="10" xfId="1" applyNumberFormat="1" applyFont="1" applyFill="1" applyBorder="1" applyAlignment="1" applyProtection="1">
      <alignment wrapText="1"/>
      <protection hidden="1"/>
    </xf>
    <xf numFmtId="164" fontId="4" fillId="4" borderId="10" xfId="1" applyNumberFormat="1" applyFont="1" applyFill="1" applyBorder="1" applyAlignment="1" applyProtection="1">
      <protection hidden="1"/>
    </xf>
    <xf numFmtId="0" fontId="41" fillId="0" borderId="0" xfId="0" applyFont="1" applyFill="1" applyBorder="1" applyAlignment="1" applyProtection="1">
      <alignment horizontal="left" vertical="center"/>
      <protection hidden="1"/>
    </xf>
    <xf numFmtId="164" fontId="11" fillId="4" borderId="10" xfId="1" applyNumberFormat="1" applyFont="1" applyFill="1" applyBorder="1" applyAlignment="1" applyProtection="1">
      <alignment horizontal="center"/>
      <protection hidden="1"/>
    </xf>
    <xf numFmtId="9" fontId="11" fillId="4" borderId="10" xfId="1" applyNumberFormat="1" applyFont="1" applyFill="1" applyBorder="1" applyAlignment="1" applyProtection="1">
      <alignment horizontal="center" wrapText="1"/>
      <protection hidden="1"/>
    </xf>
    <xf numFmtId="164" fontId="42" fillId="4" borderId="3" xfId="1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Protection="1">
      <protection hidden="1"/>
    </xf>
    <xf numFmtId="0" fontId="5" fillId="4" borderId="0" xfId="0" applyFont="1" applyFill="1" applyBorder="1" applyProtection="1"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164" fontId="11" fillId="2" borderId="0" xfId="1" applyFont="1" applyFill="1" applyBorder="1" applyAlignment="1" applyProtection="1">
      <alignment horizontal="center"/>
      <protection hidden="1"/>
    </xf>
    <xf numFmtId="0" fontId="28" fillId="0" borderId="0" xfId="2" applyFont="1" applyAlignment="1" applyProtection="1">
      <alignment horizontal="center" vertical="center"/>
      <protection hidden="1"/>
    </xf>
    <xf numFmtId="164" fontId="42" fillId="4" borderId="0" xfId="1" applyFont="1" applyFill="1" applyBorder="1" applyAlignment="1" applyProtection="1">
      <alignment horizontal="center"/>
      <protection hidden="1"/>
    </xf>
    <xf numFmtId="164" fontId="42" fillId="4" borderId="19" xfId="1" applyFont="1" applyFill="1" applyBorder="1" applyAlignment="1" applyProtection="1">
      <alignment horizontal="center"/>
      <protection hidden="1"/>
    </xf>
    <xf numFmtId="0" fontId="42" fillId="4" borderId="28" xfId="0" applyFont="1" applyFill="1" applyBorder="1" applyAlignment="1" applyProtection="1">
      <alignment horizontal="center"/>
      <protection hidden="1"/>
    </xf>
    <xf numFmtId="0" fontId="42" fillId="4" borderId="19" xfId="0" applyFont="1" applyFill="1" applyBorder="1" applyAlignment="1" applyProtection="1">
      <alignment horizontal="center"/>
      <protection hidden="1"/>
    </xf>
    <xf numFmtId="164" fontId="42" fillId="4" borderId="28" xfId="1" applyFont="1" applyFill="1" applyBorder="1" applyAlignment="1" applyProtection="1">
      <alignment horizont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34" fillId="0" borderId="3" xfId="0" applyFont="1" applyBorder="1" applyAlignment="1" applyProtection="1">
      <alignment horizontal="center" vertical="center"/>
      <protection hidden="1"/>
    </xf>
    <xf numFmtId="0" fontId="11" fillId="2" borderId="20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/>
      <protection hidden="1"/>
    </xf>
    <xf numFmtId="164" fontId="11" fillId="2" borderId="0" xfId="1" applyFont="1" applyFill="1" applyBorder="1" applyAlignment="1" applyProtection="1">
      <alignment horizontal="center"/>
      <protection hidden="1"/>
    </xf>
    <xf numFmtId="0" fontId="11" fillId="4" borderId="20" xfId="0" applyFont="1" applyFill="1" applyBorder="1" applyAlignment="1" applyProtection="1">
      <alignment horizontal="center"/>
      <protection hidden="1"/>
    </xf>
    <xf numFmtId="0" fontId="11" fillId="4" borderId="2" xfId="0" applyFont="1" applyFill="1" applyBorder="1" applyAlignment="1" applyProtection="1">
      <alignment horizontal="center"/>
      <protection hidden="1"/>
    </xf>
    <xf numFmtId="0" fontId="11" fillId="4" borderId="3" xfId="0" applyFont="1" applyFill="1" applyBorder="1" applyAlignment="1" applyProtection="1">
      <alignment horizontal="center"/>
      <protection hidden="1"/>
    </xf>
    <xf numFmtId="164" fontId="42" fillId="4" borderId="1" xfId="1" applyNumberFormat="1" applyFont="1" applyFill="1" applyBorder="1" applyAlignment="1" applyProtection="1">
      <alignment horizontal="left"/>
      <protection hidden="1"/>
    </xf>
    <xf numFmtId="164" fontId="42" fillId="4" borderId="2" xfId="1" applyNumberFormat="1" applyFont="1" applyFill="1" applyBorder="1" applyAlignment="1" applyProtection="1">
      <alignment horizontal="left"/>
      <protection hidden="1"/>
    </xf>
    <xf numFmtId="0" fontId="27" fillId="0" borderId="0" xfId="2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28" fillId="0" borderId="0" xfId="2" applyFont="1" applyAlignment="1" applyProtection="1">
      <alignment horizontal="center" vertical="center"/>
      <protection hidden="1"/>
    </xf>
    <xf numFmtId="0" fontId="23" fillId="0" borderId="25" xfId="0" applyFont="1" applyBorder="1" applyAlignment="1" applyProtection="1">
      <alignment horizontal="center"/>
      <protection hidden="1"/>
    </xf>
    <xf numFmtId="0" fontId="23" fillId="0" borderId="26" xfId="0" applyFont="1" applyBorder="1" applyAlignment="1" applyProtection="1">
      <alignment horizontal="center"/>
      <protection hidden="1"/>
    </xf>
    <xf numFmtId="0" fontId="23" fillId="0" borderId="27" xfId="0" applyFont="1" applyBorder="1" applyAlignment="1" applyProtection="1">
      <alignment horizontal="center"/>
      <protection hidden="1"/>
    </xf>
    <xf numFmtId="164" fontId="19" fillId="7" borderId="7" xfId="1" applyFont="1" applyFill="1" applyBorder="1" applyAlignment="1" applyProtection="1">
      <alignment horizontal="center"/>
      <protection hidden="1"/>
    </xf>
    <xf numFmtId="164" fontId="19" fillId="7" borderId="8" xfId="1" applyFont="1" applyFill="1" applyBorder="1" applyAlignment="1" applyProtection="1">
      <alignment horizontal="center"/>
      <protection hidden="1"/>
    </xf>
    <xf numFmtId="164" fontId="19" fillId="2" borderId="0" xfId="1" applyFont="1" applyFill="1" applyBorder="1" applyAlignment="1" applyProtection="1">
      <alignment horizontal="center"/>
      <protection hidden="1"/>
    </xf>
    <xf numFmtId="164" fontId="19" fillId="7" borderId="5" xfId="1" applyFont="1" applyFill="1" applyBorder="1" applyAlignment="1" applyProtection="1">
      <alignment horizontal="center"/>
      <protection hidden="1"/>
    </xf>
    <xf numFmtId="164" fontId="19" fillId="7" borderId="6" xfId="1" applyFont="1" applyFill="1" applyBorder="1" applyAlignment="1" applyProtection="1">
      <alignment horizontal="center"/>
      <protection hidden="1"/>
    </xf>
    <xf numFmtId="0" fontId="11" fillId="4" borderId="1" xfId="1" applyNumberFormat="1" applyFont="1" applyFill="1" applyBorder="1" applyAlignment="1" applyProtection="1">
      <alignment horizontal="center"/>
      <protection hidden="1"/>
    </xf>
    <xf numFmtId="0" fontId="11" fillId="4" borderId="2" xfId="1" applyNumberFormat="1" applyFont="1" applyFill="1" applyBorder="1" applyAlignment="1" applyProtection="1">
      <alignment horizontal="center"/>
      <protection hidden="1"/>
    </xf>
    <xf numFmtId="0" fontId="11" fillId="4" borderId="21" xfId="0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0" fontId="22" fillId="5" borderId="15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22" fillId="5" borderId="16" xfId="0" applyFont="1" applyFill="1" applyBorder="1" applyAlignment="1" applyProtection="1">
      <alignment horizontal="center" vertical="center"/>
      <protection hidden="1"/>
    </xf>
    <xf numFmtId="0" fontId="22" fillId="5" borderId="17" xfId="0" applyFont="1" applyFill="1" applyBorder="1" applyAlignment="1" applyProtection="1">
      <alignment horizontal="center" vertical="center"/>
      <protection hidden="1"/>
    </xf>
    <xf numFmtId="0" fontId="18" fillId="8" borderId="15" xfId="0" applyFont="1" applyFill="1" applyBorder="1" applyAlignment="1" applyProtection="1">
      <alignment horizontal="center"/>
      <protection hidden="1"/>
    </xf>
    <xf numFmtId="0" fontId="18" fillId="8" borderId="16" xfId="0" applyFont="1" applyFill="1" applyBorder="1" applyAlignment="1" applyProtection="1">
      <alignment horizontal="center"/>
      <protection hidden="1"/>
    </xf>
    <xf numFmtId="0" fontId="18" fillId="8" borderId="17" xfId="0" applyFont="1" applyFill="1" applyBorder="1" applyAlignment="1" applyProtection="1">
      <alignment horizontal="center"/>
      <protection hidden="1"/>
    </xf>
    <xf numFmtId="0" fontId="24" fillId="8" borderId="15" xfId="0" applyFont="1" applyFill="1" applyBorder="1" applyAlignment="1" applyProtection="1">
      <alignment horizontal="center"/>
      <protection hidden="1"/>
    </xf>
    <xf numFmtId="0" fontId="24" fillId="8" borderId="16" xfId="0" applyFont="1" applyFill="1" applyBorder="1" applyAlignment="1" applyProtection="1">
      <alignment horizontal="center"/>
      <protection hidden="1"/>
    </xf>
    <xf numFmtId="0" fontId="24" fillId="8" borderId="17" xfId="0" applyFont="1" applyFill="1" applyBorder="1" applyAlignment="1" applyProtection="1">
      <alignment horizontal="center"/>
      <protection hidden="1"/>
    </xf>
    <xf numFmtId="0" fontId="42" fillId="4" borderId="0" xfId="0" applyFont="1" applyFill="1" applyBorder="1" applyAlignment="1" applyProtection="1">
      <alignment horizontal="center"/>
      <protection hidden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99FF"/>
      <color rgb="FFF27D3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1000125</xdr:colOff>
      <xdr:row>4</xdr:row>
      <xdr:rowOff>66678</xdr:rowOff>
    </xdr:from>
    <xdr:to>
      <xdr:col>13</xdr:col>
      <xdr:colOff>190500</xdr:colOff>
      <xdr:row>10</xdr:row>
      <xdr:rowOff>66678</xdr:rowOff>
    </xdr:to>
    <xdr:pic>
      <xdr:nvPicPr>
        <xdr:cNvPr id="2" name="Picture 1" descr="srikrung 3D LOGO-straigh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666753"/>
          <a:ext cx="1438275" cy="1438275"/>
        </a:xfrm>
        <a:prstGeom prst="rect">
          <a:avLst/>
        </a:prstGeom>
        <a:solidFill>
          <a:srgbClr val="FFFFFF">
            <a:shade val="85000"/>
          </a:srgbClr>
        </a:solidFill>
        <a:ln w="63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rikrungbroker.co.th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/>
  </sheetViews>
  <sheetFormatPr defaultColWidth="9" defaultRowHeight="15"/>
  <cols>
    <col min="1" max="1" width="13.42578125" style="151" customWidth="1"/>
    <col min="2" max="2" width="10.140625" style="151" customWidth="1"/>
    <col min="3" max="3" width="10" style="151" customWidth="1"/>
    <col min="4" max="4" width="9.42578125" style="151" customWidth="1"/>
    <col min="5" max="5" width="25.28515625" style="151" customWidth="1"/>
    <col min="6" max="6" width="21.85546875" style="151" customWidth="1"/>
    <col min="7" max="10" width="9" style="151"/>
    <col min="11" max="11" width="10.28515625" style="151" customWidth="1"/>
    <col min="12" max="12" width="12.28515625" style="151" customWidth="1"/>
    <col min="13" max="13" width="13.5703125" style="151" customWidth="1"/>
    <col min="14" max="14" width="9" style="151"/>
    <col min="15" max="15" width="6.140625" style="151" customWidth="1"/>
    <col min="16" max="16" width="8.28515625" style="151" customWidth="1"/>
    <col min="17" max="17" width="13.7109375" style="151" customWidth="1"/>
    <col min="18" max="18" width="11.42578125" style="151" customWidth="1"/>
    <col min="19" max="16384" width="9" style="151"/>
  </cols>
  <sheetData>
    <row r="1" spans="1:18" ht="21">
      <c r="A1" s="147" t="s">
        <v>18</v>
      </c>
      <c r="B1" s="148" t="s">
        <v>0</v>
      </c>
      <c r="C1" s="149" t="s">
        <v>1</v>
      </c>
      <c r="D1" s="149" t="s">
        <v>2</v>
      </c>
      <c r="E1" s="149" t="s">
        <v>3</v>
      </c>
      <c r="F1" s="149" t="s">
        <v>4</v>
      </c>
      <c r="G1" s="150"/>
      <c r="H1" s="150"/>
      <c r="L1" s="151" t="s">
        <v>29</v>
      </c>
      <c r="M1" s="151" t="s">
        <v>19</v>
      </c>
      <c r="O1" s="152"/>
      <c r="P1" s="152" t="s">
        <v>108</v>
      </c>
      <c r="Q1" s="152" t="s">
        <v>109</v>
      </c>
      <c r="R1" s="152" t="s">
        <v>107</v>
      </c>
    </row>
    <row r="2" spans="1:18" ht="23.25">
      <c r="A2" s="153" t="s">
        <v>17</v>
      </c>
      <c r="B2" s="154">
        <v>0</v>
      </c>
      <c r="C2" s="154">
        <v>0.5</v>
      </c>
      <c r="D2" s="155" t="s">
        <v>5</v>
      </c>
      <c r="E2" s="156" t="s">
        <v>6</v>
      </c>
      <c r="F2" s="156" t="s">
        <v>50</v>
      </c>
      <c r="G2" s="150"/>
      <c r="H2" s="150"/>
      <c r="K2" s="151" t="s">
        <v>38</v>
      </c>
      <c r="L2" s="157">
        <f>คำนวณค่าเบี้ย!E7</f>
        <v>15000</v>
      </c>
      <c r="M2" s="157">
        <f>Q2-P2</f>
        <v>13962.691588785046</v>
      </c>
      <c r="O2" s="158"/>
      <c r="P2" s="159">
        <f>ROUNDUP(Q2*0.004/1.004,0)</f>
        <v>56</v>
      </c>
      <c r="Q2" s="158">
        <f>L2-R2</f>
        <v>14018.691588785046</v>
      </c>
      <c r="R2" s="158">
        <f>L2*0.07/1.07</f>
        <v>981.30841121495325</v>
      </c>
    </row>
    <row r="3" spans="1:18" ht="23.25">
      <c r="A3" s="153" t="s">
        <v>79</v>
      </c>
      <c r="B3" s="154">
        <v>0</v>
      </c>
      <c r="C3" s="154">
        <v>3</v>
      </c>
      <c r="D3" s="155" t="s">
        <v>5</v>
      </c>
      <c r="E3" s="156" t="s">
        <v>6</v>
      </c>
      <c r="F3" s="156" t="s">
        <v>50</v>
      </c>
      <c r="G3" s="150"/>
      <c r="H3" s="150"/>
      <c r="K3" s="151" t="s">
        <v>39</v>
      </c>
      <c r="L3" s="157">
        <f>คำนวณค่าเบี้ย!E8</f>
        <v>645.21</v>
      </c>
      <c r="M3" s="157">
        <f>Q3-P3</f>
        <v>600</v>
      </c>
      <c r="O3" s="158"/>
      <c r="P3" s="159">
        <f>ROUNDUP(Q3*0.004/1.004,0)</f>
        <v>3</v>
      </c>
      <c r="Q3" s="158">
        <f>L3-R3</f>
        <v>603</v>
      </c>
      <c r="R3" s="158">
        <f>L3*0.07/1.07</f>
        <v>42.21</v>
      </c>
    </row>
    <row r="4" spans="1:18" ht="23.25">
      <c r="A4" s="153" t="s">
        <v>80</v>
      </c>
      <c r="B4" s="154">
        <v>0</v>
      </c>
      <c r="C4" s="154">
        <v>2</v>
      </c>
      <c r="D4" s="155" t="s">
        <v>5</v>
      </c>
      <c r="E4" s="156" t="s">
        <v>6</v>
      </c>
      <c r="F4" s="156" t="s">
        <v>50</v>
      </c>
      <c r="G4" s="160"/>
      <c r="H4" s="160"/>
      <c r="I4" s="161"/>
      <c r="J4" s="161"/>
      <c r="K4" s="161"/>
    </row>
    <row r="5" spans="1:18" ht="23.25">
      <c r="A5" s="153" t="s">
        <v>7</v>
      </c>
      <c r="B5" s="154" t="s">
        <v>8</v>
      </c>
      <c r="C5" s="154" t="s">
        <v>8</v>
      </c>
      <c r="D5" s="156"/>
      <c r="E5" s="156" t="s">
        <v>63</v>
      </c>
      <c r="F5" s="156" t="s">
        <v>63</v>
      </c>
      <c r="G5" s="160"/>
      <c r="H5" s="160"/>
      <c r="I5" s="161"/>
      <c r="J5" s="161"/>
      <c r="K5" s="161"/>
    </row>
    <row r="6" spans="1:18" ht="23.25">
      <c r="A6" s="153" t="s">
        <v>81</v>
      </c>
      <c r="B6" s="154">
        <v>0</v>
      </c>
      <c r="C6" s="154">
        <v>2.14</v>
      </c>
      <c r="D6" s="155" t="s">
        <v>5</v>
      </c>
      <c r="E6" s="156" t="s">
        <v>112</v>
      </c>
      <c r="F6" s="156" t="s">
        <v>9</v>
      </c>
      <c r="G6" s="160"/>
      <c r="H6" s="160"/>
      <c r="I6" s="161"/>
      <c r="J6" s="161"/>
      <c r="K6" s="161"/>
    </row>
    <row r="7" spans="1:18" ht="23.25">
      <c r="A7" s="153" t="s">
        <v>82</v>
      </c>
      <c r="B7" s="154">
        <v>0</v>
      </c>
      <c r="C7" s="154">
        <v>0</v>
      </c>
      <c r="D7" s="155" t="s">
        <v>5</v>
      </c>
      <c r="E7" s="162" t="s">
        <v>10</v>
      </c>
      <c r="F7" s="162" t="s">
        <v>10</v>
      </c>
      <c r="G7" s="160"/>
      <c r="H7" s="160"/>
      <c r="I7" s="161"/>
      <c r="J7" s="161"/>
      <c r="K7" s="161" t="s">
        <v>42</v>
      </c>
      <c r="L7" s="152" t="s">
        <v>43</v>
      </c>
      <c r="M7" s="152" t="s">
        <v>44</v>
      </c>
    </row>
    <row r="8" spans="1:18" ht="23.25">
      <c r="A8" s="153" t="s">
        <v>83</v>
      </c>
      <c r="B8" s="154">
        <v>0</v>
      </c>
      <c r="C8" s="154">
        <v>2</v>
      </c>
      <c r="D8" s="155" t="s">
        <v>5</v>
      </c>
      <c r="E8" s="156" t="s">
        <v>6</v>
      </c>
      <c r="F8" s="156" t="s">
        <v>50</v>
      </c>
      <c r="G8" s="160"/>
      <c r="H8" s="160"/>
      <c r="I8" s="161"/>
      <c r="J8" s="161"/>
      <c r="K8" s="161" t="s">
        <v>40</v>
      </c>
      <c r="L8" s="151">
        <f>คำนวณค่าเบี้ย!F7</f>
        <v>12</v>
      </c>
      <c r="M8" s="158">
        <f>M2*L8%</f>
        <v>1675.5229906542056</v>
      </c>
    </row>
    <row r="9" spans="1:18" ht="23.25">
      <c r="A9" s="153" t="s">
        <v>84</v>
      </c>
      <c r="B9" s="154">
        <v>0</v>
      </c>
      <c r="C9" s="154">
        <v>0</v>
      </c>
      <c r="D9" s="155" t="s">
        <v>5</v>
      </c>
      <c r="E9" s="156" t="s">
        <v>50</v>
      </c>
      <c r="F9" s="156" t="s">
        <v>50</v>
      </c>
      <c r="G9" s="160"/>
      <c r="H9" s="160"/>
      <c r="I9" s="161"/>
      <c r="J9" s="161"/>
      <c r="K9" s="161" t="s">
        <v>41</v>
      </c>
      <c r="L9" s="151">
        <f>IF(คำนวณค่าเบี้ย!G7=1,คำนวณค่าเบี้ย!F7,คำนวณค่าเบี้ย!F7-คำนวณค่าเบี้ย!G7)</f>
        <v>7</v>
      </c>
      <c r="M9" s="158">
        <f>M2*L9%</f>
        <v>977.38841121495329</v>
      </c>
    </row>
    <row r="10" spans="1:18" ht="23.25">
      <c r="A10" s="153" t="s">
        <v>85</v>
      </c>
      <c r="B10" s="154">
        <v>0</v>
      </c>
      <c r="C10" s="154" t="s">
        <v>11</v>
      </c>
      <c r="D10" s="155" t="s">
        <v>5</v>
      </c>
      <c r="E10" s="156" t="s">
        <v>9</v>
      </c>
      <c r="F10" s="156" t="s">
        <v>9</v>
      </c>
      <c r="G10" s="160"/>
      <c r="H10" s="160"/>
      <c r="I10" s="161"/>
      <c r="J10" s="161"/>
      <c r="K10" s="161"/>
    </row>
    <row r="11" spans="1:18" ht="23.25">
      <c r="A11" s="153" t="s">
        <v>86</v>
      </c>
      <c r="B11" s="154">
        <v>0</v>
      </c>
      <c r="C11" s="154">
        <v>0</v>
      </c>
      <c r="D11" s="155" t="s">
        <v>5</v>
      </c>
      <c r="E11" s="156"/>
      <c r="F11" s="156" t="s">
        <v>50</v>
      </c>
      <c r="G11" s="160"/>
      <c r="H11" s="160"/>
      <c r="I11" s="161"/>
      <c r="J11" s="161"/>
      <c r="K11" s="161"/>
      <c r="L11" s="152" t="s">
        <v>43</v>
      </c>
      <c r="M11" s="152" t="s">
        <v>44</v>
      </c>
    </row>
    <row r="12" spans="1:18" ht="23.25">
      <c r="A12" s="153" t="s">
        <v>87</v>
      </c>
      <c r="B12" s="154">
        <v>0</v>
      </c>
      <c r="C12" s="154" t="s">
        <v>11</v>
      </c>
      <c r="D12" s="155" t="s">
        <v>5</v>
      </c>
      <c r="E12" s="156" t="s">
        <v>12</v>
      </c>
      <c r="F12" s="156" t="s">
        <v>116</v>
      </c>
      <c r="G12" s="160"/>
      <c r="H12" s="160"/>
      <c r="I12" s="161"/>
      <c r="J12" s="161"/>
      <c r="K12" s="161" t="s">
        <v>45</v>
      </c>
      <c r="L12" s="163">
        <f>คำนวณค่าเบี้ย!F8</f>
        <v>5</v>
      </c>
      <c r="M12" s="158">
        <f>M3*L12%</f>
        <v>30</v>
      </c>
    </row>
    <row r="13" spans="1:18" ht="23.25">
      <c r="A13" s="153" t="s">
        <v>88</v>
      </c>
      <c r="B13" s="154">
        <v>0</v>
      </c>
      <c r="C13" s="154" t="s">
        <v>11</v>
      </c>
      <c r="D13" s="155" t="s">
        <v>5</v>
      </c>
      <c r="E13" s="156" t="s">
        <v>12</v>
      </c>
      <c r="F13" s="156" t="s">
        <v>13</v>
      </c>
      <c r="G13" s="160"/>
      <c r="H13" s="160"/>
      <c r="I13" s="161"/>
      <c r="J13" s="161"/>
      <c r="K13" s="161"/>
    </row>
    <row r="14" spans="1:18" ht="23.25">
      <c r="A14" s="153" t="s">
        <v>89</v>
      </c>
      <c r="B14" s="154" t="s">
        <v>8</v>
      </c>
      <c r="C14" s="154" t="s">
        <v>8</v>
      </c>
      <c r="D14" s="156"/>
      <c r="E14" s="156" t="s">
        <v>63</v>
      </c>
      <c r="F14" s="156" t="s">
        <v>63</v>
      </c>
      <c r="G14" s="160"/>
      <c r="H14" s="160"/>
      <c r="I14" s="161"/>
      <c r="J14" s="161"/>
      <c r="K14" s="161"/>
    </row>
    <row r="15" spans="1:18" ht="23.25">
      <c r="A15" s="153" t="s">
        <v>90</v>
      </c>
      <c r="B15" s="154">
        <v>0</v>
      </c>
      <c r="C15" s="154">
        <v>3</v>
      </c>
      <c r="D15" s="155" t="s">
        <v>5</v>
      </c>
      <c r="E15" s="156" t="s">
        <v>6</v>
      </c>
      <c r="F15" s="156" t="s">
        <v>50</v>
      </c>
      <c r="G15" s="160"/>
      <c r="H15" s="160"/>
      <c r="I15" s="161"/>
      <c r="J15" s="161"/>
      <c r="K15" s="161"/>
    </row>
    <row r="16" spans="1:18" ht="23.25">
      <c r="A16" s="168" t="s">
        <v>91</v>
      </c>
      <c r="B16" s="154" t="s">
        <v>8</v>
      </c>
      <c r="C16" s="154" t="s">
        <v>8</v>
      </c>
      <c r="D16" s="164"/>
      <c r="E16" s="156" t="s">
        <v>63</v>
      </c>
      <c r="F16" s="156" t="s">
        <v>63</v>
      </c>
      <c r="G16" s="160"/>
      <c r="H16" s="160"/>
      <c r="I16" s="161"/>
      <c r="J16" s="161"/>
      <c r="K16" s="161"/>
    </row>
    <row r="17" spans="1:11" ht="23.25">
      <c r="A17" s="153" t="s">
        <v>92</v>
      </c>
      <c r="B17" s="154" t="s">
        <v>8</v>
      </c>
      <c r="C17" s="154" t="s">
        <v>8</v>
      </c>
      <c r="D17" s="156"/>
      <c r="E17" s="156" t="s">
        <v>63</v>
      </c>
      <c r="F17" s="156" t="s">
        <v>63</v>
      </c>
      <c r="G17" s="160"/>
      <c r="H17" s="160"/>
      <c r="I17" s="161"/>
      <c r="J17" s="161"/>
      <c r="K17" s="161"/>
    </row>
    <row r="18" spans="1:11" ht="23.25">
      <c r="A18" s="153" t="s">
        <v>93</v>
      </c>
      <c r="B18" s="154" t="s">
        <v>8</v>
      </c>
      <c r="C18" s="154" t="s">
        <v>8</v>
      </c>
      <c r="D18" s="156"/>
      <c r="E18" s="156" t="s">
        <v>63</v>
      </c>
      <c r="F18" s="156" t="s">
        <v>63</v>
      </c>
      <c r="G18" s="160"/>
      <c r="H18" s="160"/>
      <c r="I18" s="161"/>
      <c r="J18" s="161"/>
      <c r="K18" s="161"/>
    </row>
    <row r="19" spans="1:11" ht="23.25">
      <c r="A19" s="153" t="s">
        <v>94</v>
      </c>
      <c r="B19" s="154">
        <v>0</v>
      </c>
      <c r="C19" s="154">
        <v>3</v>
      </c>
      <c r="D19" s="156" t="s">
        <v>5</v>
      </c>
      <c r="E19" s="156"/>
      <c r="F19" s="156" t="s">
        <v>50</v>
      </c>
      <c r="G19" s="160"/>
      <c r="H19" s="160"/>
      <c r="I19" s="161"/>
      <c r="J19" s="161"/>
      <c r="K19" s="161"/>
    </row>
    <row r="20" spans="1:11" ht="23.25">
      <c r="A20" s="153" t="s">
        <v>95</v>
      </c>
      <c r="B20" s="154">
        <v>0</v>
      </c>
      <c r="C20" s="154">
        <v>0</v>
      </c>
      <c r="D20" s="155" t="s">
        <v>5</v>
      </c>
      <c r="E20" s="156"/>
      <c r="F20" s="156" t="s">
        <v>50</v>
      </c>
      <c r="G20" s="160"/>
      <c r="H20" s="160"/>
      <c r="I20" s="161"/>
      <c r="J20" s="161"/>
      <c r="K20" s="161"/>
    </row>
    <row r="21" spans="1:11" ht="23.25">
      <c r="A21" s="153" t="s">
        <v>96</v>
      </c>
      <c r="B21" s="154">
        <v>0</v>
      </c>
      <c r="C21" s="154" t="s">
        <v>11</v>
      </c>
      <c r="D21" s="155" t="s">
        <v>5</v>
      </c>
      <c r="E21" s="156" t="s">
        <v>12</v>
      </c>
      <c r="F21" s="155" t="s">
        <v>75</v>
      </c>
      <c r="G21" s="160"/>
      <c r="H21" s="160"/>
      <c r="I21" s="161"/>
      <c r="J21" s="161"/>
      <c r="K21" s="161"/>
    </row>
    <row r="22" spans="1:11" ht="23.25">
      <c r="A22" s="153" t="s">
        <v>97</v>
      </c>
      <c r="B22" s="154">
        <v>0</v>
      </c>
      <c r="C22" s="154" t="s">
        <v>11</v>
      </c>
      <c r="D22" s="155" t="s">
        <v>5</v>
      </c>
      <c r="E22" s="156" t="s">
        <v>12</v>
      </c>
      <c r="F22" s="156" t="s">
        <v>14</v>
      </c>
      <c r="G22" s="160"/>
      <c r="H22" s="160"/>
      <c r="I22" s="161"/>
      <c r="J22" s="161"/>
      <c r="K22" s="161"/>
    </row>
    <row r="23" spans="1:11" ht="23.25">
      <c r="A23" s="153" t="s">
        <v>98</v>
      </c>
      <c r="B23" s="154" t="s">
        <v>8</v>
      </c>
      <c r="C23" s="154" t="s">
        <v>8</v>
      </c>
      <c r="D23" s="156"/>
      <c r="E23" s="156" t="s">
        <v>63</v>
      </c>
      <c r="F23" s="156" t="s">
        <v>63</v>
      </c>
      <c r="G23" s="160"/>
      <c r="H23" s="160"/>
      <c r="I23" s="161"/>
      <c r="J23" s="161"/>
      <c r="K23" s="161"/>
    </row>
    <row r="24" spans="1:11" ht="23.25">
      <c r="A24" s="153" t="s">
        <v>99</v>
      </c>
      <c r="B24" s="154">
        <v>0</v>
      </c>
      <c r="C24" s="154">
        <v>2.5</v>
      </c>
      <c r="D24" s="155" t="s">
        <v>5</v>
      </c>
      <c r="E24" s="156" t="s">
        <v>6</v>
      </c>
      <c r="F24" s="156" t="s">
        <v>50</v>
      </c>
      <c r="G24" s="160"/>
      <c r="H24" s="160"/>
      <c r="I24" s="161"/>
      <c r="J24" s="161"/>
      <c r="K24" s="161"/>
    </row>
    <row r="25" spans="1:11" ht="23.25">
      <c r="A25" s="153" t="s">
        <v>100</v>
      </c>
      <c r="B25" s="154">
        <v>0</v>
      </c>
      <c r="C25" s="154" t="s">
        <v>11</v>
      </c>
      <c r="D25" s="155" t="s">
        <v>5</v>
      </c>
      <c r="E25" s="156"/>
      <c r="F25" s="156" t="s">
        <v>50</v>
      </c>
      <c r="G25" s="160"/>
      <c r="H25" s="160"/>
      <c r="I25" s="161"/>
      <c r="J25" s="161"/>
      <c r="K25" s="161"/>
    </row>
    <row r="26" spans="1:11" ht="23.25">
      <c r="A26" s="153" t="s">
        <v>101</v>
      </c>
      <c r="B26" s="154" t="s">
        <v>8</v>
      </c>
      <c r="C26" s="154" t="s">
        <v>8</v>
      </c>
      <c r="D26" s="156"/>
      <c r="E26" s="156" t="s">
        <v>63</v>
      </c>
      <c r="F26" s="156" t="s">
        <v>63</v>
      </c>
      <c r="G26" s="160"/>
      <c r="H26" s="160"/>
      <c r="I26" s="161"/>
      <c r="J26" s="161"/>
      <c r="K26" s="161"/>
    </row>
    <row r="27" spans="1:11" ht="23.25">
      <c r="A27" s="153" t="s">
        <v>102</v>
      </c>
      <c r="B27" s="154" t="s">
        <v>8</v>
      </c>
      <c r="C27" s="154" t="s">
        <v>8</v>
      </c>
      <c r="D27" s="156"/>
      <c r="E27" s="156" t="s">
        <v>63</v>
      </c>
      <c r="F27" s="156" t="s">
        <v>63</v>
      </c>
      <c r="G27" s="160"/>
      <c r="H27" s="160"/>
      <c r="I27" s="161"/>
      <c r="J27" s="161"/>
      <c r="K27" s="161"/>
    </row>
    <row r="28" spans="1:11" ht="23.25">
      <c r="A28" s="153" t="s">
        <v>103</v>
      </c>
      <c r="B28" s="154">
        <v>3</v>
      </c>
      <c r="C28" s="154" t="s">
        <v>11</v>
      </c>
      <c r="D28" s="155" t="s">
        <v>5</v>
      </c>
      <c r="E28" s="156" t="s">
        <v>12</v>
      </c>
      <c r="F28" s="156" t="s">
        <v>113</v>
      </c>
      <c r="G28" s="160"/>
      <c r="H28" s="160"/>
      <c r="I28" s="161"/>
      <c r="J28" s="161"/>
      <c r="K28" s="161"/>
    </row>
    <row r="29" spans="1:11" ht="23.25">
      <c r="A29" s="153" t="s">
        <v>104</v>
      </c>
      <c r="B29" s="154" t="s">
        <v>8</v>
      </c>
      <c r="C29" s="154" t="s">
        <v>8</v>
      </c>
      <c r="D29" s="156"/>
      <c r="E29" s="156" t="s">
        <v>63</v>
      </c>
      <c r="F29" s="156" t="s">
        <v>63</v>
      </c>
      <c r="G29" s="160"/>
      <c r="H29" s="160"/>
      <c r="I29" s="161"/>
      <c r="J29" s="161"/>
      <c r="K29" s="161"/>
    </row>
    <row r="30" spans="1:11" ht="23.25">
      <c r="A30" s="153" t="s">
        <v>105</v>
      </c>
      <c r="B30" s="154" t="s">
        <v>8</v>
      </c>
      <c r="C30" s="154" t="s">
        <v>8</v>
      </c>
      <c r="D30" s="156"/>
      <c r="E30" s="156" t="s">
        <v>63</v>
      </c>
      <c r="F30" s="156" t="s">
        <v>63</v>
      </c>
      <c r="G30" s="160"/>
      <c r="H30" s="160"/>
      <c r="I30" s="161"/>
      <c r="J30" s="161"/>
      <c r="K30" s="161"/>
    </row>
    <row r="31" spans="1:11" ht="23.25">
      <c r="A31" s="153" t="s">
        <v>15</v>
      </c>
      <c r="B31" s="154" t="s">
        <v>8</v>
      </c>
      <c r="C31" s="154" t="s">
        <v>8</v>
      </c>
      <c r="D31" s="156"/>
      <c r="E31" s="156" t="s">
        <v>63</v>
      </c>
      <c r="F31" s="156" t="s">
        <v>63</v>
      </c>
      <c r="G31" s="160"/>
      <c r="H31" s="160"/>
      <c r="I31" s="161"/>
      <c r="J31" s="161"/>
      <c r="K31" s="161"/>
    </row>
    <row r="32" spans="1:11" ht="23.25">
      <c r="A32" s="153" t="s">
        <v>106</v>
      </c>
      <c r="B32" s="154">
        <v>0</v>
      </c>
      <c r="C32" s="154" t="s">
        <v>16</v>
      </c>
      <c r="D32" s="155" t="s">
        <v>5</v>
      </c>
      <c r="E32" s="156" t="s">
        <v>12</v>
      </c>
      <c r="F32" s="156" t="s">
        <v>14</v>
      </c>
      <c r="G32" s="160"/>
      <c r="H32" s="160"/>
      <c r="I32" s="161"/>
      <c r="J32" s="161"/>
      <c r="K32" s="161"/>
    </row>
    <row r="38" spans="1:1">
      <c r="A38" s="151">
        <v>1</v>
      </c>
    </row>
    <row r="39" spans="1:1">
      <c r="A39" s="151">
        <v>2</v>
      </c>
    </row>
    <row r="40" spans="1:1">
      <c r="A40" s="151">
        <v>3</v>
      </c>
    </row>
    <row r="41" spans="1:1">
      <c r="A41" s="151">
        <v>4</v>
      </c>
    </row>
    <row r="42" spans="1:1">
      <c r="A42" s="151">
        <v>5</v>
      </c>
    </row>
    <row r="43" spans="1:1">
      <c r="A43" s="151">
        <v>6</v>
      </c>
    </row>
  </sheetData>
  <sheetProtection password="F5E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74"/>
  <sheetViews>
    <sheetView tabSelected="1" zoomScaleNormal="100" workbookViewId="0">
      <selection activeCell="E7" sqref="E7"/>
    </sheetView>
  </sheetViews>
  <sheetFormatPr defaultColWidth="9" defaultRowHeight="15.75" customHeight="1"/>
  <cols>
    <col min="1" max="1" width="9" style="1"/>
    <col min="2" max="2" width="2.140625" style="1" customWidth="1"/>
    <col min="3" max="3" width="9.42578125" style="1" customWidth="1"/>
    <col min="4" max="4" width="14.42578125" style="1" customWidth="1"/>
    <col min="5" max="5" width="14" style="1" customWidth="1"/>
    <col min="6" max="6" width="12.7109375" style="1" customWidth="1"/>
    <col min="7" max="7" width="13.42578125" style="1" customWidth="1"/>
    <col min="8" max="8" width="16.42578125" style="1" customWidth="1"/>
    <col min="9" max="9" width="15.85546875" style="1" customWidth="1"/>
    <col min="10" max="10" width="1.85546875" style="1" customWidth="1"/>
    <col min="11" max="11" width="1" style="1" customWidth="1"/>
    <col min="12" max="12" width="15.140625" style="1" customWidth="1"/>
    <col min="13" max="13" width="14.42578125" style="1" customWidth="1"/>
    <col min="14" max="14" width="11" style="1" customWidth="1"/>
    <col min="15" max="15" width="4.7109375" style="1" bestFit="1" customWidth="1"/>
    <col min="16" max="51" width="9" style="2"/>
    <col min="52" max="16384" width="9" style="1"/>
  </cols>
  <sheetData>
    <row r="1" spans="1:51" ht="15.75" customHeight="1">
      <c r="A1" s="1" t="s">
        <v>20</v>
      </c>
    </row>
    <row r="3" spans="1:51" ht="15.75" customHeight="1">
      <c r="A3" s="130" t="s">
        <v>66</v>
      </c>
      <c r="B3" s="130"/>
      <c r="C3" s="130"/>
      <c r="D3" s="131"/>
    </row>
    <row r="5" spans="1:51" ht="34.5" customHeight="1"/>
    <row r="6" spans="1:51" ht="15.75" customHeight="1">
      <c r="E6" s="3" t="s">
        <v>21</v>
      </c>
      <c r="F6" s="3" t="s">
        <v>24</v>
      </c>
      <c r="G6" s="3" t="s">
        <v>25</v>
      </c>
    </row>
    <row r="7" spans="1:51" ht="15.75" customHeight="1">
      <c r="A7" s="1" t="s">
        <v>22</v>
      </c>
      <c r="E7" s="144">
        <v>15000</v>
      </c>
      <c r="F7" s="145">
        <v>12</v>
      </c>
      <c r="G7" s="145">
        <v>5</v>
      </c>
    </row>
    <row r="8" spans="1:51" ht="15.75" customHeight="1">
      <c r="A8" s="1" t="s">
        <v>23</v>
      </c>
      <c r="E8" s="144">
        <v>645.21</v>
      </c>
      <c r="F8" s="146">
        <v>5</v>
      </c>
      <c r="G8" s="4"/>
    </row>
    <row r="10" spans="1:51" ht="15.75" customHeight="1">
      <c r="A10" s="1" t="s">
        <v>26</v>
      </c>
      <c r="E10" s="165" t="s">
        <v>17</v>
      </c>
    </row>
    <row r="11" spans="1:51" ht="27.75" customHeight="1">
      <c r="I11" s="124"/>
      <c r="J11" s="124"/>
      <c r="K11" s="124"/>
      <c r="L11" s="194" t="s">
        <v>76</v>
      </c>
      <c r="M11" s="195"/>
      <c r="N11" s="195"/>
    </row>
    <row r="12" spans="1:51" s="133" customFormat="1" ht="24.75" customHeight="1">
      <c r="A12" s="182"/>
      <c r="B12" s="183"/>
      <c r="C12" s="183"/>
      <c r="D12" s="184"/>
      <c r="E12" s="140" t="s">
        <v>19</v>
      </c>
      <c r="F12" s="140" t="s">
        <v>111</v>
      </c>
      <c r="G12" s="140" t="s">
        <v>37</v>
      </c>
      <c r="H12" s="140" t="s">
        <v>110</v>
      </c>
      <c r="I12" s="140" t="s">
        <v>109</v>
      </c>
      <c r="J12" s="134"/>
      <c r="K12" s="134"/>
      <c r="L12" s="196" t="s">
        <v>77</v>
      </c>
      <c r="M12" s="196"/>
      <c r="N12" s="196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</row>
    <row r="13" spans="1:51" s="133" customFormat="1" ht="15.75" customHeight="1">
      <c r="A13" s="136" t="s">
        <v>22</v>
      </c>
      <c r="B13" s="136"/>
      <c r="C13" s="136"/>
      <c r="D13" s="136"/>
      <c r="E13" s="141">
        <f>VALUE!$M$2</f>
        <v>13962.691588785046</v>
      </c>
      <c r="F13" s="141">
        <f>VALUE!$P$2</f>
        <v>56</v>
      </c>
      <c r="G13" s="141">
        <f>VALUE!$Q$2</f>
        <v>14018.691588785046</v>
      </c>
      <c r="H13" s="141">
        <f>VALUE!$R$2</f>
        <v>981.30841121495325</v>
      </c>
      <c r="I13" s="141">
        <f>E13+F13+H13</f>
        <v>15000</v>
      </c>
      <c r="J13" s="134"/>
      <c r="K13" s="134"/>
      <c r="L13" s="176"/>
      <c r="M13" s="176"/>
      <c r="N13" s="176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</row>
    <row r="14" spans="1:51" s="133" customFormat="1" ht="15.75" customHeight="1">
      <c r="A14" s="136" t="s">
        <v>23</v>
      </c>
      <c r="B14" s="136"/>
      <c r="C14" s="136"/>
      <c r="D14" s="136"/>
      <c r="E14" s="141">
        <f>VALUE!$M$3</f>
        <v>600</v>
      </c>
      <c r="F14" s="141">
        <f>VALUE!$P$3</f>
        <v>3</v>
      </c>
      <c r="G14" s="141">
        <f>VALUE!$Q$3</f>
        <v>603</v>
      </c>
      <c r="H14" s="141">
        <f>VALUE!$R$3</f>
        <v>42.21</v>
      </c>
      <c r="I14" s="141">
        <f>E14+F14+H14</f>
        <v>645.21</v>
      </c>
      <c r="J14" s="134"/>
      <c r="K14" s="134"/>
      <c r="L14" s="176"/>
      <c r="M14" s="176"/>
      <c r="N14" s="176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</row>
    <row r="15" spans="1:51" s="133" customFormat="1" ht="15.75" customHeight="1" thickBot="1">
      <c r="A15" s="137" t="s">
        <v>37</v>
      </c>
      <c r="B15" s="138"/>
      <c r="C15" s="138"/>
      <c r="D15" s="139"/>
      <c r="E15" s="142">
        <f>SUM(E13:E14)</f>
        <v>14562.691588785046</v>
      </c>
      <c r="F15" s="142">
        <f>SUM(F13:F14)</f>
        <v>59</v>
      </c>
      <c r="G15" s="142">
        <f>SUM(G13:G14)</f>
        <v>14621.691588785046</v>
      </c>
      <c r="H15" s="142">
        <f>SUM(H13:H14)</f>
        <v>1023.5184112149533</v>
      </c>
      <c r="I15" s="142">
        <f>SUM(I13:I14)</f>
        <v>15645.21</v>
      </c>
      <c r="J15" s="134"/>
      <c r="K15" s="134"/>
      <c r="L15" s="176"/>
      <c r="M15" s="176"/>
      <c r="N15" s="176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</row>
    <row r="16" spans="1:51" ht="15.75" customHeight="1" thickTop="1" thickBot="1">
      <c r="E16" s="143"/>
      <c r="F16" s="143"/>
      <c r="G16" s="143"/>
      <c r="H16" s="143"/>
      <c r="I16" s="143"/>
      <c r="J16" s="124"/>
      <c r="K16" s="124"/>
      <c r="L16" s="132"/>
      <c r="M16" s="132"/>
      <c r="N16" s="132"/>
    </row>
    <row r="17" spans="1:29" ht="26.25" customHeight="1" thickBot="1">
      <c r="A17" s="197" t="s">
        <v>27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</row>
    <row r="18" spans="1:29" s="123" customFormat="1" ht="29.25" customHeight="1" thickBot="1">
      <c r="A18" s="209" t="s">
        <v>64</v>
      </c>
      <c r="B18" s="210"/>
      <c r="C18" s="210"/>
      <c r="D18" s="210"/>
      <c r="E18" s="210"/>
      <c r="F18" s="210"/>
      <c r="G18" s="210"/>
      <c r="H18" s="210"/>
      <c r="I18" s="210"/>
      <c r="J18" s="211"/>
      <c r="K18" s="209" t="s">
        <v>65</v>
      </c>
      <c r="L18" s="212"/>
      <c r="M18" s="212"/>
      <c r="N18" s="212"/>
      <c r="O18" s="213"/>
    </row>
    <row r="19" spans="1:29" s="5" customFormat="1" ht="19.5" customHeight="1">
      <c r="A19" s="214" t="s">
        <v>28</v>
      </c>
      <c r="B19" s="215"/>
      <c r="C19" s="215"/>
      <c r="D19" s="215"/>
      <c r="E19" s="215"/>
      <c r="F19" s="215"/>
      <c r="G19" s="215"/>
      <c r="H19" s="215"/>
      <c r="I19" s="215"/>
      <c r="J19" s="216"/>
      <c r="K19" s="214" t="s">
        <v>28</v>
      </c>
      <c r="L19" s="215"/>
      <c r="M19" s="215"/>
      <c r="N19" s="215"/>
      <c r="O19" s="216"/>
    </row>
    <row r="20" spans="1:29" s="15" customFormat="1" ht="15.75" customHeight="1">
      <c r="A20" s="11" t="s">
        <v>71</v>
      </c>
      <c r="B20" s="12"/>
      <c r="C20" s="12"/>
      <c r="D20" s="12"/>
      <c r="E20" s="12"/>
      <c r="F20" s="12"/>
      <c r="G20" s="12"/>
      <c r="H20" s="12"/>
      <c r="I20" s="12"/>
      <c r="J20" s="13"/>
      <c r="K20" s="11" t="s">
        <v>71</v>
      </c>
      <c r="L20" s="12"/>
      <c r="M20" s="12"/>
      <c r="N20" s="12"/>
      <c r="O20" s="14"/>
      <c r="T20" s="110"/>
      <c r="U20" s="111"/>
      <c r="V20" s="111"/>
      <c r="W20" s="112"/>
      <c r="X20" s="113"/>
      <c r="Y20" s="113"/>
      <c r="Z20" s="114"/>
      <c r="AA20" s="114"/>
      <c r="AB20" s="114"/>
      <c r="AC20" s="114"/>
    </row>
    <row r="21" spans="1:29" s="10" customFormat="1" ht="15.75" customHeight="1">
      <c r="A21" s="185"/>
      <c r="B21" s="186"/>
      <c r="C21" s="187"/>
      <c r="D21" s="16" t="s">
        <v>29</v>
      </c>
      <c r="E21" s="16" t="s">
        <v>46</v>
      </c>
      <c r="F21" s="16" t="s">
        <v>19</v>
      </c>
      <c r="G21" s="16" t="s">
        <v>30</v>
      </c>
      <c r="H21" s="16" t="s">
        <v>32</v>
      </c>
      <c r="I21" s="17"/>
      <c r="J21" s="18"/>
      <c r="K21" s="6"/>
      <c r="L21" s="16" t="s">
        <v>33</v>
      </c>
      <c r="M21" s="7"/>
      <c r="N21" s="7"/>
      <c r="O21" s="9"/>
      <c r="T21" s="115"/>
      <c r="U21" s="116"/>
      <c r="V21" s="117"/>
      <c r="W21" s="118"/>
      <c r="X21" s="119"/>
      <c r="Y21" s="119"/>
      <c r="Z21" s="120"/>
      <c r="AA21" s="120"/>
      <c r="AB21" s="120"/>
      <c r="AC21" s="120"/>
    </row>
    <row r="22" spans="1:29" s="10" customFormat="1" ht="15.75" customHeight="1">
      <c r="A22" s="185" t="s">
        <v>34</v>
      </c>
      <c r="B22" s="186"/>
      <c r="C22" s="187"/>
      <c r="D22" s="19">
        <f>VALUE!$L$2</f>
        <v>15000</v>
      </c>
      <c r="E22" s="20">
        <f>VALUE!$L$8%</f>
        <v>0.12</v>
      </c>
      <c r="F22" s="19">
        <f>VALUE!$M$2</f>
        <v>13962.691588785046</v>
      </c>
      <c r="G22" s="19">
        <f>VALUE!$M$8</f>
        <v>1675.5229906542056</v>
      </c>
      <c r="H22" s="19">
        <f>D22-G22</f>
        <v>13324.477009345794</v>
      </c>
      <c r="I22" s="22"/>
      <c r="J22" s="23"/>
      <c r="K22" s="6"/>
      <c r="L22" s="24">
        <f>VALUE!$L$2</f>
        <v>15000</v>
      </c>
      <c r="M22" s="188"/>
      <c r="N22" s="188"/>
      <c r="O22" s="9"/>
      <c r="T22" s="115"/>
      <c r="U22" s="116"/>
      <c r="V22" s="116"/>
      <c r="W22" s="118"/>
      <c r="X22" s="121"/>
      <c r="Y22" s="121"/>
      <c r="Z22" s="120"/>
      <c r="AA22" s="120"/>
      <c r="AB22" s="120"/>
      <c r="AC22" s="120"/>
    </row>
    <row r="23" spans="1:29" s="10" customFormat="1" ht="15.75" customHeight="1">
      <c r="A23" s="185" t="s">
        <v>35</v>
      </c>
      <c r="B23" s="186"/>
      <c r="C23" s="187"/>
      <c r="D23" s="19">
        <f>VALUE!$L$3</f>
        <v>645.21</v>
      </c>
      <c r="E23" s="25">
        <f>VALUE!$L$12%</f>
        <v>0.05</v>
      </c>
      <c r="F23" s="19">
        <f>VALUE!$M$3</f>
        <v>600</v>
      </c>
      <c r="G23" s="19">
        <f>VALUE!$M$12</f>
        <v>30</v>
      </c>
      <c r="H23" s="19">
        <f>D23-G23</f>
        <v>615.21</v>
      </c>
      <c r="I23" s="22"/>
      <c r="J23" s="23"/>
      <c r="K23" s="6"/>
      <c r="L23" s="24">
        <f>VALUE!$L$3</f>
        <v>645.21</v>
      </c>
      <c r="M23" s="203" t="s">
        <v>36</v>
      </c>
      <c r="N23" s="204"/>
      <c r="O23" s="9"/>
      <c r="T23" s="115"/>
      <c r="U23" s="116"/>
      <c r="V23" s="117"/>
      <c r="W23" s="118"/>
      <c r="X23" s="121"/>
      <c r="Y23" s="121"/>
      <c r="Z23" s="120"/>
      <c r="AA23" s="120"/>
      <c r="AB23" s="120"/>
      <c r="AC23" s="120"/>
    </row>
    <row r="24" spans="1:29" s="10" customFormat="1" ht="15.75" customHeight="1" thickBot="1">
      <c r="A24" s="185" t="s">
        <v>37</v>
      </c>
      <c r="B24" s="186"/>
      <c r="C24" s="187"/>
      <c r="D24" s="19">
        <f>SUM(D22:D23)</f>
        <v>15645.21</v>
      </c>
      <c r="E24" s="26"/>
      <c r="F24" s="21"/>
      <c r="G24" s="21"/>
      <c r="H24" s="27">
        <f>SUM(H22:H23)</f>
        <v>13939.687009345795</v>
      </c>
      <c r="I24" s="22"/>
      <c r="J24" s="23"/>
      <c r="K24" s="6"/>
      <c r="L24" s="28">
        <f>SUM(L22:L23)</f>
        <v>15645.21</v>
      </c>
      <c r="M24" s="200">
        <f>H24</f>
        <v>13939.687009345795</v>
      </c>
      <c r="N24" s="201"/>
      <c r="O24" s="9"/>
      <c r="T24" s="115"/>
      <c r="U24" s="116"/>
      <c r="V24" s="116"/>
      <c r="W24" s="118"/>
      <c r="X24" s="121"/>
      <c r="Y24" s="121"/>
      <c r="Z24" s="120"/>
      <c r="AA24" s="120"/>
      <c r="AB24" s="120"/>
      <c r="AC24" s="120"/>
    </row>
    <row r="25" spans="1:29" s="10" customFormat="1" ht="15.75" customHeight="1" thickTop="1">
      <c r="A25" s="29"/>
      <c r="B25" s="17"/>
      <c r="C25" s="17"/>
      <c r="D25" s="22"/>
      <c r="E25" s="30"/>
      <c r="F25" s="31"/>
      <c r="G25" s="31"/>
      <c r="H25" s="22"/>
      <c r="I25" s="22"/>
      <c r="J25" s="23"/>
      <c r="K25" s="6"/>
      <c r="L25" s="32"/>
      <c r="M25" s="175"/>
      <c r="N25" s="175"/>
      <c r="O25" s="9"/>
      <c r="T25" s="115"/>
      <c r="U25" s="117"/>
      <c r="V25" s="117"/>
      <c r="W25" s="121"/>
      <c r="X25" s="121"/>
      <c r="Y25" s="121"/>
      <c r="Z25" s="120"/>
      <c r="AA25" s="120"/>
      <c r="AB25" s="120"/>
      <c r="AC25" s="120"/>
    </row>
    <row r="26" spans="1:29" s="10" customFormat="1" ht="15.75" customHeight="1">
      <c r="A26" s="29"/>
      <c r="B26" s="17"/>
      <c r="C26" s="17"/>
      <c r="D26" s="22"/>
      <c r="E26" s="30"/>
      <c r="F26" s="31"/>
      <c r="G26" s="31"/>
      <c r="H26" s="22"/>
      <c r="I26" s="22"/>
      <c r="J26" s="23"/>
      <c r="K26" s="6"/>
      <c r="L26" s="32"/>
      <c r="M26" s="175"/>
      <c r="N26" s="175"/>
      <c r="O26" s="9"/>
      <c r="T26" s="115"/>
      <c r="U26" s="117"/>
      <c r="V26" s="117"/>
      <c r="W26" s="118"/>
      <c r="X26" s="121"/>
      <c r="Y26" s="121"/>
      <c r="Z26" s="120"/>
      <c r="AA26" s="120"/>
      <c r="AB26" s="120"/>
      <c r="AC26" s="120"/>
    </row>
    <row r="27" spans="1:29" s="15" customFormat="1" ht="15.75" customHeight="1">
      <c r="A27" s="33" t="s">
        <v>115</v>
      </c>
      <c r="B27" s="34"/>
      <c r="C27" s="35"/>
      <c r="D27" s="36"/>
      <c r="E27" s="37"/>
      <c r="F27" s="38"/>
      <c r="G27" s="39"/>
      <c r="H27" s="36"/>
      <c r="I27" s="36"/>
      <c r="J27" s="40"/>
      <c r="K27" s="33" t="s">
        <v>115</v>
      </c>
      <c r="L27" s="35"/>
      <c r="M27" s="35"/>
      <c r="N27" s="41"/>
      <c r="O27" s="14"/>
      <c r="T27" s="109"/>
      <c r="U27" s="109"/>
      <c r="V27" s="109"/>
    </row>
    <row r="28" spans="1:29" s="47" customFormat="1" ht="15.75" customHeight="1">
      <c r="A28" s="42" t="s">
        <v>114</v>
      </c>
      <c r="B28" s="43"/>
      <c r="C28" s="43"/>
      <c r="D28" s="44">
        <f>H32*2.5%</f>
        <v>348.4921752336449</v>
      </c>
      <c r="E28" s="43" t="s">
        <v>47</v>
      </c>
      <c r="F28" s="43"/>
      <c r="G28" s="43"/>
      <c r="H28" s="43"/>
      <c r="I28" s="43"/>
      <c r="J28" s="45"/>
      <c r="K28" s="42"/>
      <c r="L28" s="43" t="s">
        <v>114</v>
      </c>
      <c r="M28" s="43"/>
      <c r="N28" s="44">
        <f>L32*2.5%</f>
        <v>391.13024999999999</v>
      </c>
      <c r="O28" s="46" t="s">
        <v>47</v>
      </c>
      <c r="T28" s="122"/>
      <c r="U28" s="122"/>
      <c r="V28" s="122"/>
    </row>
    <row r="29" spans="1:29" s="10" customFormat="1" ht="15.75" customHeight="1">
      <c r="A29" s="185"/>
      <c r="B29" s="186"/>
      <c r="C29" s="187"/>
      <c r="D29" s="16" t="s">
        <v>29</v>
      </c>
      <c r="E29" s="16" t="s">
        <v>46</v>
      </c>
      <c r="F29" s="16" t="s">
        <v>19</v>
      </c>
      <c r="G29" s="16" t="s">
        <v>30</v>
      </c>
      <c r="H29" s="16" t="s">
        <v>32</v>
      </c>
      <c r="I29" s="17"/>
      <c r="J29" s="18"/>
      <c r="K29" s="6"/>
      <c r="L29" s="16" t="s">
        <v>33</v>
      </c>
      <c r="M29" s="7"/>
      <c r="N29" s="7"/>
      <c r="O29" s="9"/>
      <c r="T29" s="115"/>
      <c r="U29" s="116"/>
      <c r="V29" s="117"/>
      <c r="W29" s="118"/>
      <c r="X29" s="119"/>
      <c r="Y29" s="119"/>
      <c r="Z29" s="120"/>
      <c r="AA29" s="120"/>
      <c r="AB29" s="120"/>
      <c r="AC29" s="120"/>
    </row>
    <row r="30" spans="1:29" s="10" customFormat="1" ht="15.75" customHeight="1">
      <c r="A30" s="185" t="s">
        <v>34</v>
      </c>
      <c r="B30" s="186"/>
      <c r="C30" s="187"/>
      <c r="D30" s="19">
        <f>VALUE!$L$2</f>
        <v>15000</v>
      </c>
      <c r="E30" s="20">
        <f>VALUE!$L$8%</f>
        <v>0.12</v>
      </c>
      <c r="F30" s="19">
        <f>VALUE!$M$2</f>
        <v>13962.691588785046</v>
      </c>
      <c r="G30" s="19">
        <f>VALUE!$M$8</f>
        <v>1675.5229906542056</v>
      </c>
      <c r="H30" s="19">
        <f>D30-G30</f>
        <v>13324.477009345794</v>
      </c>
      <c r="I30" s="22"/>
      <c r="J30" s="23"/>
      <c r="K30" s="6"/>
      <c r="L30" s="24">
        <f>VALUE!$L$2</f>
        <v>15000</v>
      </c>
      <c r="M30" s="188"/>
      <c r="N30" s="188"/>
      <c r="O30" s="9"/>
      <c r="T30" s="115"/>
      <c r="U30" s="116"/>
      <c r="V30" s="116"/>
      <c r="W30" s="118"/>
      <c r="X30" s="121"/>
      <c r="Y30" s="121"/>
      <c r="Z30" s="120"/>
      <c r="AA30" s="120"/>
      <c r="AB30" s="120"/>
      <c r="AC30" s="120"/>
    </row>
    <row r="31" spans="1:29" s="10" customFormat="1" ht="15.75" customHeight="1">
      <c r="A31" s="185" t="s">
        <v>35</v>
      </c>
      <c r="B31" s="186"/>
      <c r="C31" s="187"/>
      <c r="D31" s="19">
        <f>VALUE!$L$3</f>
        <v>645.21</v>
      </c>
      <c r="E31" s="25">
        <f>VALUE!$L$12%</f>
        <v>0.05</v>
      </c>
      <c r="F31" s="19">
        <f>VALUE!$M$3</f>
        <v>600</v>
      </c>
      <c r="G31" s="19">
        <f>VALUE!$M$12</f>
        <v>30</v>
      </c>
      <c r="H31" s="19">
        <f>D31-G31</f>
        <v>615.21</v>
      </c>
      <c r="I31" s="22"/>
      <c r="J31" s="23"/>
      <c r="K31" s="6"/>
      <c r="L31" s="24">
        <f>VALUE!$L$3</f>
        <v>645.21</v>
      </c>
      <c r="M31" s="202"/>
      <c r="N31" s="202"/>
      <c r="O31" s="9"/>
      <c r="T31" s="115"/>
      <c r="U31" s="116"/>
      <c r="V31" s="117"/>
      <c r="W31" s="118"/>
      <c r="X31" s="121"/>
      <c r="Y31" s="121"/>
      <c r="Z31" s="120"/>
      <c r="AA31" s="120"/>
      <c r="AB31" s="120"/>
      <c r="AC31" s="120"/>
    </row>
    <row r="32" spans="1:29" s="10" customFormat="1" ht="15.75" customHeight="1">
      <c r="A32" s="185" t="s">
        <v>37</v>
      </c>
      <c r="B32" s="186"/>
      <c r="C32" s="187"/>
      <c r="D32" s="19">
        <f>SUM(D30:D31)</f>
        <v>15645.21</v>
      </c>
      <c r="E32" s="26"/>
      <c r="F32" s="21"/>
      <c r="G32" s="21"/>
      <c r="H32" s="19">
        <f>SUM(H30:H31)</f>
        <v>13939.687009345795</v>
      </c>
      <c r="I32" s="22"/>
      <c r="J32" s="23"/>
      <c r="K32" s="6"/>
      <c r="L32" s="48">
        <f>SUM(L30:L31)</f>
        <v>15645.21</v>
      </c>
      <c r="M32" s="203" t="s">
        <v>36</v>
      </c>
      <c r="N32" s="204"/>
      <c r="O32" s="9"/>
      <c r="T32" s="115"/>
      <c r="U32" s="116"/>
      <c r="V32" s="116"/>
      <c r="W32" s="118"/>
      <c r="X32" s="121"/>
      <c r="Y32" s="121"/>
      <c r="Z32" s="120"/>
      <c r="AA32" s="120"/>
      <c r="AB32" s="120"/>
      <c r="AC32" s="120"/>
    </row>
    <row r="33" spans="1:29" s="10" customFormat="1" ht="15.75" customHeight="1" thickBot="1">
      <c r="A33" s="49" t="s">
        <v>48</v>
      </c>
      <c r="B33" s="17"/>
      <c r="C33" s="17"/>
      <c r="D33" s="22"/>
      <c r="E33" s="30"/>
      <c r="F33" s="175"/>
      <c r="G33" s="31"/>
      <c r="H33" s="50">
        <f>H32+D28</f>
        <v>14288.17918457944</v>
      </c>
      <c r="I33" s="22"/>
      <c r="J33" s="23"/>
      <c r="K33" s="6"/>
      <c r="L33" s="51">
        <f>L32+N28</f>
        <v>16036.340249999999</v>
      </c>
      <c r="M33" s="200">
        <f>H33</f>
        <v>14288.17918457944</v>
      </c>
      <c r="N33" s="201"/>
      <c r="O33" s="9"/>
    </row>
    <row r="34" spans="1:29" s="10" customFormat="1" ht="15.75" customHeight="1" thickTop="1">
      <c r="A34" s="49"/>
      <c r="B34" s="17"/>
      <c r="C34" s="17"/>
      <c r="D34" s="22"/>
      <c r="E34" s="30"/>
      <c r="F34" s="175"/>
      <c r="G34" s="31"/>
      <c r="H34" s="22"/>
      <c r="I34" s="22"/>
      <c r="J34" s="23"/>
      <c r="K34" s="6"/>
      <c r="L34" s="32"/>
      <c r="M34" s="175"/>
      <c r="N34" s="175"/>
      <c r="O34" s="9"/>
    </row>
    <row r="35" spans="1:29" s="10" customFormat="1" ht="15.75" customHeight="1">
      <c r="A35" s="49"/>
      <c r="B35" s="17"/>
      <c r="C35" s="17"/>
      <c r="D35" s="22"/>
      <c r="E35" s="30"/>
      <c r="F35" s="175"/>
      <c r="G35" s="31"/>
      <c r="H35" s="22"/>
      <c r="I35" s="22"/>
      <c r="J35" s="23"/>
      <c r="K35" s="6"/>
      <c r="L35" s="32"/>
      <c r="M35" s="175"/>
      <c r="N35" s="175"/>
      <c r="O35" s="9"/>
    </row>
    <row r="36" spans="1:29" s="63" customFormat="1" ht="15.75" customHeight="1">
      <c r="A36" s="52" t="s">
        <v>72</v>
      </c>
      <c r="B36" s="53"/>
      <c r="C36" s="54"/>
      <c r="D36" s="55"/>
      <c r="E36" s="56"/>
      <c r="F36" s="57"/>
      <c r="G36" s="58"/>
      <c r="H36" s="55"/>
      <c r="I36" s="55"/>
      <c r="J36" s="59"/>
      <c r="K36" s="52" t="s">
        <v>72</v>
      </c>
      <c r="L36" s="60"/>
      <c r="M36" s="60"/>
      <c r="N36" s="60"/>
      <c r="O36" s="61"/>
    </row>
    <row r="37" spans="1:29" s="47" customFormat="1" ht="15.75" customHeight="1">
      <c r="A37" s="42" t="s">
        <v>61</v>
      </c>
      <c r="B37" s="43"/>
      <c r="C37" s="64">
        <f>VLOOKUP(คำนวณค่าเบี้ย!E10,MAILORDER,3,FALSE)%</f>
        <v>5.0000000000000001E-3</v>
      </c>
      <c r="D37" s="44">
        <f>H41*C37</f>
        <v>69.698435046728974</v>
      </c>
      <c r="E37" s="43" t="s">
        <v>47</v>
      </c>
      <c r="F37" s="65"/>
      <c r="G37" s="43"/>
      <c r="H37" s="43"/>
      <c r="I37" s="43"/>
      <c r="J37" s="45"/>
      <c r="K37" s="42"/>
      <c r="L37" s="43" t="s">
        <v>62</v>
      </c>
      <c r="M37" s="66">
        <f>VLOOKUP(E10,MAILORDER,2,FALSE)%</f>
        <v>0</v>
      </c>
      <c r="N37" s="44">
        <f>L41*M37</f>
        <v>0</v>
      </c>
      <c r="O37" s="46" t="s">
        <v>47</v>
      </c>
    </row>
    <row r="38" spans="1:29" s="10" customFormat="1" ht="15.75" customHeight="1">
      <c r="A38" s="185"/>
      <c r="B38" s="186"/>
      <c r="C38" s="187"/>
      <c r="D38" s="16" t="s">
        <v>29</v>
      </c>
      <c r="E38" s="16" t="s">
        <v>46</v>
      </c>
      <c r="F38" s="16" t="s">
        <v>19</v>
      </c>
      <c r="G38" s="16" t="s">
        <v>30</v>
      </c>
      <c r="H38" s="16" t="s">
        <v>32</v>
      </c>
      <c r="I38" s="17"/>
      <c r="J38" s="18"/>
      <c r="K38" s="6"/>
      <c r="L38" s="16" t="s">
        <v>33</v>
      </c>
      <c r="M38" s="7"/>
      <c r="N38" s="7"/>
      <c r="O38" s="9"/>
      <c r="T38" s="115"/>
      <c r="U38" s="116"/>
      <c r="V38" s="117"/>
      <c r="W38" s="118"/>
      <c r="X38" s="119"/>
      <c r="Y38" s="119"/>
      <c r="Z38" s="120"/>
      <c r="AA38" s="120"/>
      <c r="AB38" s="120"/>
      <c r="AC38" s="120"/>
    </row>
    <row r="39" spans="1:29" s="10" customFormat="1" ht="15.75" customHeight="1">
      <c r="A39" s="185" t="s">
        <v>34</v>
      </c>
      <c r="B39" s="186"/>
      <c r="C39" s="187"/>
      <c r="D39" s="19">
        <f>VALUE!$L$2</f>
        <v>15000</v>
      </c>
      <c r="E39" s="20">
        <f>VALUE!$L$8%</f>
        <v>0.12</v>
      </c>
      <c r="F39" s="19">
        <f>VALUE!$M$2</f>
        <v>13962.691588785046</v>
      </c>
      <c r="G39" s="19">
        <f>VALUE!$M$8</f>
        <v>1675.5229906542056</v>
      </c>
      <c r="H39" s="19">
        <f>D39-G39</f>
        <v>13324.477009345794</v>
      </c>
      <c r="I39" s="22"/>
      <c r="J39" s="23"/>
      <c r="K39" s="6"/>
      <c r="L39" s="24">
        <f>VALUE!$L$2</f>
        <v>15000</v>
      </c>
      <c r="M39" s="188"/>
      <c r="N39" s="188"/>
      <c r="O39" s="9"/>
      <c r="T39" s="115"/>
      <c r="U39" s="116"/>
      <c r="V39" s="116"/>
      <c r="W39" s="118"/>
      <c r="X39" s="121"/>
      <c r="Y39" s="121"/>
      <c r="Z39" s="120"/>
      <c r="AA39" s="120"/>
      <c r="AB39" s="120"/>
      <c r="AC39" s="120"/>
    </row>
    <row r="40" spans="1:29" s="10" customFormat="1" ht="15.75" customHeight="1">
      <c r="A40" s="185" t="s">
        <v>35</v>
      </c>
      <c r="B40" s="186"/>
      <c r="C40" s="187"/>
      <c r="D40" s="19">
        <f>VALUE!$L$3</f>
        <v>645.21</v>
      </c>
      <c r="E40" s="25">
        <f>VALUE!$L$12%</f>
        <v>0.05</v>
      </c>
      <c r="F40" s="19">
        <f>VALUE!$M$3</f>
        <v>600</v>
      </c>
      <c r="G40" s="19">
        <f>VALUE!$M$12</f>
        <v>30</v>
      </c>
      <c r="H40" s="19">
        <f>D40-G40</f>
        <v>615.21</v>
      </c>
      <c r="I40" s="22"/>
      <c r="J40" s="23"/>
      <c r="K40" s="6"/>
      <c r="L40" s="24">
        <f>VALUE!$L$3</f>
        <v>645.21</v>
      </c>
      <c r="M40" s="188"/>
      <c r="N40" s="188"/>
      <c r="O40" s="9"/>
      <c r="T40" s="115"/>
      <c r="U40" s="116"/>
      <c r="V40" s="117"/>
      <c r="W40" s="118"/>
      <c r="X40" s="121"/>
      <c r="Y40" s="121"/>
      <c r="Z40" s="120"/>
      <c r="AA40" s="120"/>
      <c r="AB40" s="120"/>
      <c r="AC40" s="120"/>
    </row>
    <row r="41" spans="1:29" s="10" customFormat="1" ht="15.75" customHeight="1">
      <c r="A41" s="185" t="s">
        <v>37</v>
      </c>
      <c r="B41" s="186"/>
      <c r="C41" s="187"/>
      <c r="D41" s="19">
        <f>SUM(D39:D40)</f>
        <v>15645.21</v>
      </c>
      <c r="E41" s="26"/>
      <c r="F41" s="21"/>
      <c r="G41" s="21"/>
      <c r="H41" s="19">
        <f>SUM(H39:H40)</f>
        <v>13939.687009345795</v>
      </c>
      <c r="I41" s="22"/>
      <c r="J41" s="23"/>
      <c r="K41" s="6"/>
      <c r="L41" s="48">
        <f>SUM(L39:L40)</f>
        <v>15645.21</v>
      </c>
      <c r="M41" s="188"/>
      <c r="N41" s="188"/>
      <c r="O41" s="9"/>
      <c r="T41" s="115"/>
      <c r="U41" s="116"/>
      <c r="V41" s="116"/>
      <c r="W41" s="118"/>
      <c r="X41" s="121"/>
      <c r="Y41" s="121"/>
      <c r="Z41" s="120"/>
      <c r="AA41" s="120"/>
      <c r="AB41" s="120"/>
      <c r="AC41" s="120"/>
    </row>
    <row r="42" spans="1:29" s="10" customFormat="1" ht="15.75" customHeight="1" thickBot="1">
      <c r="A42" s="49" t="s">
        <v>69</v>
      </c>
      <c r="B42" s="17"/>
      <c r="C42" s="17"/>
      <c r="D42" s="22"/>
      <c r="E42" s="30"/>
      <c r="F42" s="175"/>
      <c r="G42" s="31"/>
      <c r="H42" s="50">
        <f>H41+D37</f>
        <v>14009.385444392523</v>
      </c>
      <c r="I42" s="22"/>
      <c r="J42" s="23"/>
      <c r="K42" s="6"/>
      <c r="L42" s="67">
        <f>L41+N37</f>
        <v>15645.21</v>
      </c>
      <c r="M42" s="188"/>
      <c r="N42" s="188"/>
      <c r="O42" s="9"/>
    </row>
    <row r="43" spans="1:29" s="10" customFormat="1" ht="15.75" customHeight="1" thickTop="1">
      <c r="A43" s="6" t="s">
        <v>49</v>
      </c>
      <c r="B43" s="68" t="str">
        <f>VLOOKUP(E10,MAILORDER,5,FALSE)</f>
        <v>Fee ชำระแยกเป็นเงินสด</v>
      </c>
      <c r="C43" s="7"/>
      <c r="D43" s="7"/>
      <c r="E43" s="7"/>
      <c r="F43" s="7"/>
      <c r="G43" s="7"/>
      <c r="H43" s="7"/>
      <c r="I43" s="7"/>
      <c r="J43" s="8"/>
      <c r="K43" s="6"/>
      <c r="L43" s="7" t="s">
        <v>49</v>
      </c>
      <c r="M43" s="68" t="str">
        <f>VLOOKUP(E10,MAILORDER,6,FALSE)</f>
        <v>-</v>
      </c>
      <c r="N43" s="7"/>
      <c r="O43" s="9"/>
    </row>
    <row r="44" spans="1:29" s="10" customFormat="1" ht="15.75" customHeight="1" thickBot="1">
      <c r="A44" s="126"/>
      <c r="B44" s="127"/>
      <c r="C44" s="127"/>
      <c r="D44" s="127"/>
      <c r="E44" s="127"/>
      <c r="F44" s="127"/>
      <c r="G44" s="127"/>
      <c r="H44" s="127"/>
      <c r="I44" s="127"/>
      <c r="J44" s="128"/>
      <c r="K44" s="126"/>
      <c r="L44" s="127"/>
      <c r="M44" s="127"/>
      <c r="N44" s="127"/>
      <c r="O44" s="129"/>
    </row>
    <row r="45" spans="1:29" s="5" customFormat="1" ht="19.5" customHeight="1">
      <c r="A45" s="217" t="s">
        <v>51</v>
      </c>
      <c r="B45" s="218"/>
      <c r="C45" s="218"/>
      <c r="D45" s="218"/>
      <c r="E45" s="218"/>
      <c r="F45" s="218"/>
      <c r="G45" s="218"/>
      <c r="H45" s="218"/>
      <c r="I45" s="218"/>
      <c r="J45" s="219"/>
      <c r="K45" s="217" t="s">
        <v>51</v>
      </c>
      <c r="L45" s="218"/>
      <c r="M45" s="218"/>
      <c r="N45" s="218"/>
      <c r="O45" s="219"/>
    </row>
    <row r="46" spans="1:29" s="63" customFormat="1" ht="15.75" customHeight="1">
      <c r="A46" s="52" t="s">
        <v>70</v>
      </c>
      <c r="B46" s="74"/>
      <c r="C46" s="74"/>
      <c r="D46" s="75"/>
      <c r="E46" s="74"/>
      <c r="F46" s="74"/>
      <c r="G46" s="74"/>
      <c r="H46" s="74"/>
      <c r="I46" s="74"/>
      <c r="J46" s="76"/>
      <c r="K46" s="52" t="s">
        <v>70</v>
      </c>
      <c r="L46" s="74"/>
      <c r="M46" s="74"/>
      <c r="N46" s="74"/>
      <c r="O46" s="77"/>
    </row>
    <row r="47" spans="1:29" s="47" customFormat="1" ht="15.75" customHeight="1">
      <c r="A47" s="42" t="s">
        <v>52</v>
      </c>
      <c r="B47" s="43"/>
      <c r="C47" s="43"/>
      <c r="D47" s="44">
        <f>IF(F47=0,0,IF(F47&lt;100,100,F47))</f>
        <v>300</v>
      </c>
      <c r="E47" s="43" t="s">
        <v>47</v>
      </c>
      <c r="F47" s="78">
        <f>IF(AND(G7=1),0,IF(AND(G7&gt;=2,G7&lt;=6),(E7*2%)))</f>
        <v>300</v>
      </c>
      <c r="G47" s="43"/>
      <c r="H47" s="43"/>
      <c r="I47" s="43"/>
      <c r="J47" s="45"/>
      <c r="K47" s="42"/>
      <c r="L47" s="43" t="s">
        <v>52</v>
      </c>
      <c r="M47" s="43"/>
      <c r="N47" s="44">
        <f>D47</f>
        <v>300</v>
      </c>
      <c r="O47" s="46" t="s">
        <v>47</v>
      </c>
    </row>
    <row r="48" spans="1:29" s="73" customFormat="1" ht="15.75" customHeight="1">
      <c r="A48" s="189"/>
      <c r="B48" s="190"/>
      <c r="C48" s="191"/>
      <c r="D48" s="174" t="s">
        <v>29</v>
      </c>
      <c r="E48" s="174" t="s">
        <v>30</v>
      </c>
      <c r="F48" s="174" t="s">
        <v>19</v>
      </c>
      <c r="G48" s="174" t="s">
        <v>31</v>
      </c>
      <c r="H48" s="174" t="s">
        <v>53</v>
      </c>
      <c r="I48" s="79" t="s">
        <v>54</v>
      </c>
      <c r="J48" s="80"/>
      <c r="K48" s="69"/>
      <c r="L48" s="174" t="s">
        <v>53</v>
      </c>
      <c r="M48" s="79" t="s">
        <v>54</v>
      </c>
      <c r="N48" s="70"/>
      <c r="O48" s="72"/>
    </row>
    <row r="49" spans="1:15" s="73" customFormat="1" ht="15.75" customHeight="1">
      <c r="A49" s="189" t="s">
        <v>34</v>
      </c>
      <c r="B49" s="190"/>
      <c r="C49" s="191"/>
      <c r="D49" s="81">
        <f>VALUE!$L$2</f>
        <v>15000</v>
      </c>
      <c r="E49" s="82">
        <f>VALUE!$L$9%</f>
        <v>7.0000000000000007E-2</v>
      </c>
      <c r="F49" s="81">
        <f>VALUE!$M$2</f>
        <v>13962.691588785046</v>
      </c>
      <c r="G49" s="81">
        <f>VALUE!$M$9</f>
        <v>977.38841121495329</v>
      </c>
      <c r="H49" s="83">
        <f>IF(AND(G7=1),(E7-G49),IF(AND(G7=2),((E7/2)+D47),IF(AND(G7&gt;2,G7&lt;=6),((E7*35%)+D47),E7))
)</f>
        <v>5550</v>
      </c>
      <c r="I49" s="166">
        <f>IF(AND(G7=1),0,IF(AND(G7&gt;=2,G7&lt;=6),((E7+D47-H49)/(G7-1))))</f>
        <v>2437.5</v>
      </c>
      <c r="J49" s="84"/>
      <c r="K49" s="69"/>
      <c r="L49" s="83">
        <f>IF(AND(G7=2),((E7/2)+N47),IF(AND(G7&gt;2,G7&lt;=6),((E7*35%)+N47),E7))</f>
        <v>5550</v>
      </c>
      <c r="M49" s="85">
        <f>IF(AND(G7=1),0,IF(AND(G7&gt;=2,G7&lt;=6),((E7+N47-L49)/(G7-1))))</f>
        <v>2437.5</v>
      </c>
      <c r="N49" s="70"/>
      <c r="O49" s="72"/>
    </row>
    <row r="50" spans="1:15" s="73" customFormat="1" ht="15.75" customHeight="1">
      <c r="A50" s="189" t="s">
        <v>35</v>
      </c>
      <c r="B50" s="190"/>
      <c r="C50" s="191"/>
      <c r="D50" s="81">
        <f>VALUE!$L$3</f>
        <v>645.21</v>
      </c>
      <c r="E50" s="86">
        <f>VALUE!$L$12%</f>
        <v>0.05</v>
      </c>
      <c r="F50" s="81">
        <f>VALUE!$M$3</f>
        <v>600</v>
      </c>
      <c r="G50" s="81">
        <f>VALUE!$M$12</f>
        <v>30</v>
      </c>
      <c r="H50" s="87">
        <f>D50-G50</f>
        <v>615.21</v>
      </c>
      <c r="I50" s="88"/>
      <c r="J50" s="84"/>
      <c r="K50" s="69"/>
      <c r="L50" s="87">
        <f>VALUE!$L$3</f>
        <v>645.21</v>
      </c>
      <c r="M50" s="89"/>
      <c r="N50" s="70"/>
      <c r="O50" s="72"/>
    </row>
    <row r="51" spans="1:15" s="73" customFormat="1" ht="15.75" customHeight="1" thickBot="1">
      <c r="A51" s="189" t="s">
        <v>37</v>
      </c>
      <c r="B51" s="190"/>
      <c r="C51" s="191"/>
      <c r="D51" s="81">
        <f>SUM(D49:D50)</f>
        <v>15645.21</v>
      </c>
      <c r="E51" s="205"/>
      <c r="F51" s="206"/>
      <c r="G51" s="90"/>
      <c r="H51" s="91">
        <f>SUM(H49:H50)</f>
        <v>6165.21</v>
      </c>
      <c r="I51" s="92"/>
      <c r="J51" s="84"/>
      <c r="K51" s="69"/>
      <c r="L51" s="91">
        <f>SUM(L49:L50)</f>
        <v>6195.21</v>
      </c>
      <c r="M51" s="92"/>
      <c r="N51" s="70"/>
      <c r="O51" s="72"/>
    </row>
    <row r="52" spans="1:15" s="73" customFormat="1" ht="15.75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1"/>
      <c r="K52" s="69"/>
      <c r="L52" s="70"/>
      <c r="M52" s="70"/>
      <c r="N52" s="70"/>
      <c r="O52" s="72"/>
    </row>
    <row r="53" spans="1:15" s="73" customFormat="1" ht="15.75" customHeight="1">
      <c r="A53" s="69"/>
      <c r="B53" s="70"/>
      <c r="C53" s="70"/>
      <c r="D53" s="70"/>
      <c r="E53" s="70"/>
      <c r="F53" s="70"/>
      <c r="G53" s="70"/>
      <c r="H53" s="70"/>
      <c r="I53" s="70"/>
      <c r="J53" s="71"/>
      <c r="K53" s="69"/>
      <c r="L53" s="70"/>
      <c r="M53" s="70"/>
      <c r="N53" s="70"/>
      <c r="O53" s="72"/>
    </row>
    <row r="54" spans="1:15" s="63" customFormat="1" ht="15.75" customHeight="1">
      <c r="A54" s="52" t="s">
        <v>118</v>
      </c>
      <c r="B54" s="74"/>
      <c r="C54" s="74"/>
      <c r="D54" s="54"/>
      <c r="E54" s="74"/>
      <c r="F54" s="74"/>
      <c r="G54" s="74"/>
      <c r="H54" s="74"/>
      <c r="I54" s="74"/>
      <c r="J54" s="76"/>
      <c r="K54" s="52" t="s">
        <v>73</v>
      </c>
      <c r="L54" s="74"/>
      <c r="M54" s="74"/>
      <c r="N54" s="74"/>
      <c r="O54" s="77"/>
    </row>
    <row r="55" spans="1:15" s="47" customFormat="1" ht="15.75" customHeight="1">
      <c r="A55" s="42" t="s">
        <v>67</v>
      </c>
      <c r="B55" s="43"/>
      <c r="C55" s="43"/>
      <c r="D55" s="44">
        <f>IF(AND(G7=1),(H58*2.5%),IF(AND(G7&gt;=2,G7&lt;=6),(H58*2%)))</f>
        <v>280.45223177570091</v>
      </c>
      <c r="E55" s="43" t="s">
        <v>47</v>
      </c>
      <c r="F55" s="43" t="s">
        <v>68</v>
      </c>
      <c r="G55" s="43"/>
      <c r="H55" s="43"/>
      <c r="I55" s="43"/>
      <c r="J55" s="45"/>
      <c r="K55" s="42"/>
      <c r="L55" s="43" t="s">
        <v>67</v>
      </c>
      <c r="M55" s="43"/>
      <c r="N55" s="44">
        <f>IF(AND(G7=1),(L58*2.5%),IF(AND(G7&gt;=2,G7&lt;=6),(L58*2%)))</f>
        <v>300</v>
      </c>
      <c r="O55" s="46" t="s">
        <v>47</v>
      </c>
    </row>
    <row r="56" spans="1:15" s="73" customFormat="1" ht="15.75" customHeight="1">
      <c r="A56" s="189"/>
      <c r="B56" s="190"/>
      <c r="C56" s="191"/>
      <c r="D56" s="174" t="s">
        <v>29</v>
      </c>
      <c r="E56" s="174" t="s">
        <v>30</v>
      </c>
      <c r="F56" s="174" t="s">
        <v>19</v>
      </c>
      <c r="G56" s="174" t="s">
        <v>31</v>
      </c>
      <c r="H56" s="174" t="s">
        <v>55</v>
      </c>
      <c r="I56" s="174" t="s">
        <v>56</v>
      </c>
      <c r="J56" s="80"/>
      <c r="K56" s="69"/>
      <c r="L56" s="174" t="s">
        <v>55</v>
      </c>
      <c r="M56" s="79" t="s">
        <v>56</v>
      </c>
      <c r="N56" s="179"/>
      <c r="O56" s="180"/>
    </row>
    <row r="57" spans="1:15" s="73" customFormat="1" ht="15.75" customHeight="1">
      <c r="A57" s="189" t="s">
        <v>34</v>
      </c>
      <c r="B57" s="190"/>
      <c r="C57" s="191"/>
      <c r="D57" s="169">
        <f>VALUE!$L$2</f>
        <v>15000</v>
      </c>
      <c r="E57" s="170">
        <f>VALUE!$L$9%</f>
        <v>7.0000000000000007E-2</v>
      </c>
      <c r="F57" s="169">
        <f>VALUE!$M$2</f>
        <v>13962.691588785046</v>
      </c>
      <c r="G57" s="169">
        <f>VALUE!$M$9</f>
        <v>977.38841121495329</v>
      </c>
      <c r="H57" s="93">
        <f>D57-G57</f>
        <v>14022.611588785046</v>
      </c>
      <c r="I57" s="167">
        <f>IF(AND(G7=1),0,IF(AND(G7&gt;=2,G7&lt;=6),(H59/G7)))</f>
        <v>2860.6127641121493</v>
      </c>
      <c r="J57" s="84"/>
      <c r="K57" s="69"/>
      <c r="L57" s="83">
        <f>VALUE!$L$2</f>
        <v>15000</v>
      </c>
      <c r="M57" s="85">
        <f>IF(AND(G7=1),0,IF(AND(G7&gt;=2,G7&lt;=6),(L59/G7)))</f>
        <v>3060</v>
      </c>
      <c r="N57" s="179"/>
      <c r="O57" s="180"/>
    </row>
    <row r="58" spans="1:15" s="73" customFormat="1" ht="15.75" customHeight="1">
      <c r="A58" s="189" t="s">
        <v>37</v>
      </c>
      <c r="B58" s="190"/>
      <c r="C58" s="190"/>
      <c r="D58" s="192"/>
      <c r="E58" s="193"/>
      <c r="F58" s="193"/>
      <c r="G58" s="171"/>
      <c r="H58" s="94">
        <f>SUM(H57:H57)</f>
        <v>14022.611588785046</v>
      </c>
      <c r="I58" s="92"/>
      <c r="J58" s="84"/>
      <c r="K58" s="69"/>
      <c r="L58" s="87">
        <f>SUM(L57:L57)</f>
        <v>15000</v>
      </c>
      <c r="M58" s="92"/>
      <c r="N58" s="181"/>
      <c r="O58" s="178"/>
    </row>
    <row r="59" spans="1:15" s="73" customFormat="1" ht="15.75" customHeight="1" thickBot="1">
      <c r="A59" s="69" t="s">
        <v>57</v>
      </c>
      <c r="B59" s="70"/>
      <c r="C59" s="70"/>
      <c r="D59" s="70"/>
      <c r="E59" s="70"/>
      <c r="F59" s="70"/>
      <c r="G59" s="70"/>
      <c r="H59" s="95">
        <f>H58+D55</f>
        <v>14303.063820560747</v>
      </c>
      <c r="I59" s="70"/>
      <c r="J59" s="71"/>
      <c r="K59" s="69"/>
      <c r="L59" s="95">
        <f>L58+N55</f>
        <v>15300</v>
      </c>
      <c r="M59" s="70"/>
      <c r="N59" s="70"/>
      <c r="O59" s="72"/>
    </row>
    <row r="60" spans="1:15" s="73" customFormat="1" ht="15.75" customHeight="1" thickTop="1">
      <c r="A60" s="96" t="s">
        <v>58</v>
      </c>
      <c r="B60" s="97"/>
      <c r="C60" s="97"/>
      <c r="D60" s="70"/>
      <c r="E60" s="70"/>
      <c r="F60" s="70"/>
      <c r="G60" s="70"/>
      <c r="H60" s="70"/>
      <c r="I60" s="70"/>
      <c r="J60" s="71"/>
      <c r="K60" s="69"/>
      <c r="L60" s="70"/>
      <c r="M60" s="70"/>
      <c r="N60" s="70"/>
      <c r="O60" s="72"/>
    </row>
    <row r="61" spans="1:15" s="73" customFormat="1" ht="15.75" customHeight="1" thickBot="1">
      <c r="A61" s="207" t="s">
        <v>35</v>
      </c>
      <c r="B61" s="208"/>
      <c r="C61" s="208"/>
      <c r="D61" s="81">
        <f>VALUE!$L$3</f>
        <v>645.21</v>
      </c>
      <c r="E61" s="98">
        <f>VALUE!$L$12%</f>
        <v>0.05</v>
      </c>
      <c r="F61" s="81">
        <f>VALUE!$M$3</f>
        <v>600</v>
      </c>
      <c r="G61" s="81">
        <f>VALUE!$M$12</f>
        <v>30</v>
      </c>
      <c r="H61" s="99">
        <f>D61-G61</f>
        <v>615.21</v>
      </c>
      <c r="I61" s="100" t="s">
        <v>59</v>
      </c>
      <c r="J61" s="84"/>
      <c r="K61" s="69"/>
      <c r="L61" s="101">
        <f>VALUE!$L$3</f>
        <v>645.21</v>
      </c>
      <c r="M61" s="100" t="s">
        <v>59</v>
      </c>
      <c r="N61" s="70"/>
      <c r="O61" s="72"/>
    </row>
    <row r="62" spans="1:15" s="73" customFormat="1" ht="15.75" customHeight="1" thickTop="1">
      <c r="A62" s="69"/>
      <c r="B62" s="70"/>
      <c r="C62" s="70"/>
      <c r="D62" s="70"/>
      <c r="E62" s="70"/>
      <c r="F62" s="70"/>
      <c r="G62" s="70"/>
      <c r="H62" s="70"/>
      <c r="I62" s="70"/>
      <c r="J62" s="71"/>
      <c r="K62" s="69"/>
      <c r="L62" s="70"/>
      <c r="M62" s="70"/>
      <c r="N62" s="70"/>
      <c r="O62" s="72"/>
    </row>
    <row r="63" spans="1:15" s="73" customFormat="1" ht="15.75" customHeight="1">
      <c r="A63" s="69"/>
      <c r="B63" s="70"/>
      <c r="C63" s="70"/>
      <c r="D63" s="70"/>
      <c r="E63" s="70"/>
      <c r="F63" s="70"/>
      <c r="G63" s="70"/>
      <c r="H63" s="70"/>
      <c r="I63" s="70"/>
      <c r="J63" s="71"/>
      <c r="K63" s="69"/>
      <c r="L63" s="70"/>
      <c r="M63" s="70"/>
      <c r="N63" s="70"/>
      <c r="O63" s="72"/>
    </row>
    <row r="64" spans="1:15" s="63" customFormat="1" ht="15.75" customHeight="1">
      <c r="A64" s="52" t="s">
        <v>74</v>
      </c>
      <c r="B64" s="74"/>
      <c r="C64" s="74"/>
      <c r="D64" s="54"/>
      <c r="E64" s="74"/>
      <c r="F64" s="74"/>
      <c r="G64" s="74"/>
      <c r="H64" s="74"/>
      <c r="I64" s="74"/>
      <c r="J64" s="76"/>
      <c r="K64" s="52" t="s">
        <v>74</v>
      </c>
      <c r="L64" s="74"/>
      <c r="M64" s="74"/>
      <c r="N64" s="74"/>
      <c r="O64" s="77"/>
    </row>
    <row r="65" spans="1:51" s="47" customFormat="1" ht="15.75" customHeight="1">
      <c r="A65" s="42" t="s">
        <v>60</v>
      </c>
      <c r="B65" s="43"/>
      <c r="C65" s="43"/>
      <c r="D65" s="44">
        <f>H68*3%</f>
        <v>420.67834766355139</v>
      </c>
      <c r="E65" s="43" t="s">
        <v>47</v>
      </c>
      <c r="F65" s="43"/>
      <c r="G65" s="43"/>
      <c r="H65" s="43"/>
      <c r="I65" s="43"/>
      <c r="J65" s="45"/>
      <c r="K65" s="42"/>
      <c r="L65" s="43" t="s">
        <v>60</v>
      </c>
      <c r="M65" s="43"/>
      <c r="N65" s="44">
        <f>(L68*3%)</f>
        <v>450</v>
      </c>
      <c r="O65" s="46" t="s">
        <v>47</v>
      </c>
    </row>
    <row r="66" spans="1:51" s="73" customFormat="1" ht="15.75" customHeight="1">
      <c r="A66" s="189"/>
      <c r="B66" s="190"/>
      <c r="C66" s="191"/>
      <c r="D66" s="174" t="s">
        <v>29</v>
      </c>
      <c r="E66" s="174" t="s">
        <v>30</v>
      </c>
      <c r="F66" s="174" t="s">
        <v>19</v>
      </c>
      <c r="G66" s="174" t="s">
        <v>31</v>
      </c>
      <c r="H66" s="174" t="s">
        <v>55</v>
      </c>
      <c r="I66" s="174" t="s">
        <v>56</v>
      </c>
      <c r="J66" s="80"/>
      <c r="K66" s="69"/>
      <c r="L66" s="174" t="s">
        <v>55</v>
      </c>
      <c r="M66" s="79" t="s">
        <v>56</v>
      </c>
      <c r="N66" s="220"/>
      <c r="O66" s="180"/>
      <c r="P66" s="172"/>
    </row>
    <row r="67" spans="1:51" s="73" customFormat="1" ht="15.75" customHeight="1">
      <c r="A67" s="189" t="s">
        <v>34</v>
      </c>
      <c r="B67" s="190"/>
      <c r="C67" s="191"/>
      <c r="D67" s="169">
        <f>VALUE!$L$2</f>
        <v>15000</v>
      </c>
      <c r="E67" s="170">
        <f>VALUE!$L$9%</f>
        <v>7.0000000000000007E-2</v>
      </c>
      <c r="F67" s="169">
        <f>VALUE!$M$2</f>
        <v>13962.691588785046</v>
      </c>
      <c r="G67" s="169">
        <f>VALUE!$M$9</f>
        <v>977.38841121495329</v>
      </c>
      <c r="H67" s="93">
        <f>D67-G67</f>
        <v>14022.611588785046</v>
      </c>
      <c r="I67" s="85">
        <f>IF(AND(G7=1),0,IF(AND(G7&gt;=2,G7&lt;=6),(H69/G7)))</f>
        <v>2888.6579872897196</v>
      </c>
      <c r="J67" s="84"/>
      <c r="K67" s="69"/>
      <c r="L67" s="83">
        <f>VALUE!$L$2</f>
        <v>15000</v>
      </c>
      <c r="M67" s="85">
        <f>IF(AND(G7=1),0,IF(AND(G7&gt;=2,G7&lt;=6),(L69/G7)))</f>
        <v>3090</v>
      </c>
      <c r="N67" s="220"/>
      <c r="O67" s="180"/>
      <c r="P67" s="172"/>
    </row>
    <row r="68" spans="1:51" s="73" customFormat="1" ht="15.75" customHeight="1">
      <c r="A68" s="189" t="s">
        <v>37</v>
      </c>
      <c r="B68" s="190"/>
      <c r="C68" s="190"/>
      <c r="D68" s="192"/>
      <c r="E68" s="193"/>
      <c r="F68" s="193"/>
      <c r="G68" s="171"/>
      <c r="H68" s="94">
        <f>SUM(H67:H67)</f>
        <v>14022.611588785046</v>
      </c>
      <c r="I68" s="92"/>
      <c r="J68" s="84"/>
      <c r="K68" s="69"/>
      <c r="L68" s="87">
        <f>SUM(L67:L67)</f>
        <v>15000</v>
      </c>
      <c r="M68" s="92"/>
      <c r="N68" s="177"/>
      <c r="O68" s="178"/>
      <c r="P68" s="172"/>
    </row>
    <row r="69" spans="1:51" s="73" customFormat="1" ht="15.75" customHeight="1" thickBot="1">
      <c r="A69" s="69" t="s">
        <v>57</v>
      </c>
      <c r="B69" s="70"/>
      <c r="C69" s="70"/>
      <c r="D69" s="70"/>
      <c r="E69" s="70"/>
      <c r="F69" s="70"/>
      <c r="G69" s="70"/>
      <c r="H69" s="95">
        <f>H68+D65</f>
        <v>14443.289936448598</v>
      </c>
      <c r="I69" s="70"/>
      <c r="J69" s="71"/>
      <c r="K69" s="69"/>
      <c r="L69" s="95">
        <f>L68+N65</f>
        <v>15450</v>
      </c>
      <c r="M69" s="70"/>
      <c r="N69" s="70"/>
      <c r="O69" s="72"/>
      <c r="P69" s="172"/>
    </row>
    <row r="70" spans="1:51" s="104" customFormat="1" ht="15.75" customHeight="1" thickTop="1">
      <c r="A70" s="96" t="s">
        <v>58</v>
      </c>
      <c r="B70" s="102"/>
      <c r="C70" s="102"/>
      <c r="D70" s="70"/>
      <c r="E70" s="70"/>
      <c r="F70" s="70"/>
      <c r="G70" s="70"/>
      <c r="H70" s="70"/>
      <c r="I70" s="70"/>
      <c r="J70" s="71"/>
      <c r="K70" s="69"/>
      <c r="L70" s="70"/>
      <c r="M70" s="70"/>
      <c r="N70" s="70"/>
      <c r="O70" s="103"/>
      <c r="P70" s="173"/>
    </row>
    <row r="71" spans="1:51" s="104" customFormat="1" ht="15.75" customHeight="1" thickBot="1">
      <c r="A71" s="207" t="s">
        <v>35</v>
      </c>
      <c r="B71" s="208"/>
      <c r="C71" s="208"/>
      <c r="D71" s="81">
        <f>VALUE!$L$3</f>
        <v>645.21</v>
      </c>
      <c r="E71" s="98">
        <f>VALUE!$L$12%</f>
        <v>0.05</v>
      </c>
      <c r="F71" s="81">
        <f>VALUE!$M$3</f>
        <v>600</v>
      </c>
      <c r="G71" s="81">
        <f>VALUE!$M$12</f>
        <v>30</v>
      </c>
      <c r="H71" s="99">
        <f>D71-G71</f>
        <v>615.21</v>
      </c>
      <c r="I71" s="105" t="s">
        <v>59</v>
      </c>
      <c r="J71" s="84"/>
      <c r="K71" s="69"/>
      <c r="L71" s="99">
        <f>VALUE!$L$3</f>
        <v>645.21</v>
      </c>
      <c r="M71" s="105" t="s">
        <v>59</v>
      </c>
      <c r="N71" s="70"/>
      <c r="O71" s="103"/>
    </row>
    <row r="72" spans="1:51" s="73" customFormat="1" ht="15.75" customHeight="1" thickTop="1" thickBot="1">
      <c r="A72" s="106"/>
      <c r="B72" s="107"/>
      <c r="C72" s="107"/>
      <c r="D72" s="107"/>
      <c r="E72" s="107"/>
      <c r="F72" s="107"/>
      <c r="G72" s="107"/>
      <c r="H72" s="107"/>
      <c r="I72" s="107"/>
      <c r="J72" s="108"/>
      <c r="K72" s="106"/>
      <c r="L72" s="107"/>
      <c r="M72" s="107"/>
      <c r="N72" s="107"/>
      <c r="O72" s="108"/>
    </row>
    <row r="74" spans="1:51" s="124" customFormat="1" ht="15.75" customHeight="1">
      <c r="A74" s="124" t="s">
        <v>78</v>
      </c>
      <c r="E74" s="125"/>
      <c r="F74" s="125" t="s">
        <v>117</v>
      </c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</row>
  </sheetData>
  <sheetProtection password="F5E0" sheet="1" objects="1" scenarios="1" selectLockedCells="1"/>
  <mergeCells count="54">
    <mergeCell ref="A71:C71"/>
    <mergeCell ref="A18:J18"/>
    <mergeCell ref="K18:O18"/>
    <mergeCell ref="A19:J19"/>
    <mergeCell ref="K19:O19"/>
    <mergeCell ref="A45:J45"/>
    <mergeCell ref="K45:O45"/>
    <mergeCell ref="A56:C56"/>
    <mergeCell ref="A57:C57"/>
    <mergeCell ref="A58:C58"/>
    <mergeCell ref="A61:C61"/>
    <mergeCell ref="A66:C66"/>
    <mergeCell ref="D68:F68"/>
    <mergeCell ref="N66:O66"/>
    <mergeCell ref="N67:O67"/>
    <mergeCell ref="M22:N22"/>
    <mergeCell ref="A23:C23"/>
    <mergeCell ref="M23:N23"/>
    <mergeCell ref="A50:C50"/>
    <mergeCell ref="A51:C51"/>
    <mergeCell ref="E51:F51"/>
    <mergeCell ref="M42:N42"/>
    <mergeCell ref="D58:F58"/>
    <mergeCell ref="L11:N11"/>
    <mergeCell ref="L12:N12"/>
    <mergeCell ref="A17:O17"/>
    <mergeCell ref="M33:N33"/>
    <mergeCell ref="A29:C29"/>
    <mergeCell ref="A30:C30"/>
    <mergeCell ref="M30:N30"/>
    <mergeCell ref="A31:C31"/>
    <mergeCell ref="M31:N31"/>
    <mergeCell ref="A32:C32"/>
    <mergeCell ref="M32:N32"/>
    <mergeCell ref="A24:C24"/>
    <mergeCell ref="M24:N24"/>
    <mergeCell ref="A21:C21"/>
    <mergeCell ref="A22:C22"/>
    <mergeCell ref="N68:O68"/>
    <mergeCell ref="N56:O56"/>
    <mergeCell ref="N57:O57"/>
    <mergeCell ref="N58:O58"/>
    <mergeCell ref="A12:D12"/>
    <mergeCell ref="A38:C38"/>
    <mergeCell ref="A39:C39"/>
    <mergeCell ref="M39:N39"/>
    <mergeCell ref="A40:C40"/>
    <mergeCell ref="M40:N40"/>
    <mergeCell ref="A41:C41"/>
    <mergeCell ref="M41:N41"/>
    <mergeCell ref="A48:C48"/>
    <mergeCell ref="A67:C67"/>
    <mergeCell ref="A68:C68"/>
    <mergeCell ref="A49:C49"/>
  </mergeCells>
  <dataValidations count="3">
    <dataValidation type="list" allowBlank="1" showInputMessage="1" showErrorMessage="1" sqref="G7">
      <formula1>period</formula1>
    </dataValidation>
    <dataValidation type="list" allowBlank="1" showInputMessage="1" showErrorMessage="1" sqref="E10">
      <formula1>insurename</formula1>
    </dataValidation>
    <dataValidation type="decimal" operator="greaterThanOrEqual" allowBlank="1" showInputMessage="1" showErrorMessage="1" error="ผลประโยชน์ต้องมากกว่าหรือเท่ากับจำนวนงวด???_x000a_" sqref="F7">
      <formula1>G7</formula1>
    </dataValidation>
  </dataValidations>
  <hyperlinks>
    <hyperlink ref="L11" r:id="rId1"/>
  </hyperlinks>
  <pageMargins left="0.23622047244094491" right="0.23622047244094491" top="0.74803149606299213" bottom="0.74803149606299213" header="0.31496062992125984" footer="0.31496062992125984"/>
  <pageSetup paperSize="9" scale="59" orientation="portrait" r:id="rId2"/>
  <headerFooter>
    <oddFooter>&amp;LWWW.SRIKRUNGBROKER.CO.TH  // TEL : 02-8673888&amp;RPrepared by Srikrung Staff Team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VALUE</vt:lpstr>
      <vt:lpstr>คำนวณค่าเบี้ย</vt:lpstr>
      <vt:lpstr>insurename</vt:lpstr>
      <vt:lpstr>คำนวณค่าเบี้ย!MAILFEE</vt:lpstr>
      <vt:lpstr>คำนวณค่าเบี้ย!mailinfor</vt:lpstr>
      <vt:lpstr>MAILORDER</vt:lpstr>
      <vt:lpstr>period</vt:lpstr>
      <vt:lpstr>คำนวณค่าเบี้ย!Print_Area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K_joy</dc:creator>
  <cp:lastModifiedBy>Kraiwin Santipitak</cp:lastModifiedBy>
  <cp:lastPrinted>2015-02-04T08:35:55Z</cp:lastPrinted>
  <dcterms:created xsi:type="dcterms:W3CDTF">2015-01-28T05:26:35Z</dcterms:created>
  <dcterms:modified xsi:type="dcterms:W3CDTF">2017-03-17T10:23:52Z</dcterms:modified>
</cp:coreProperties>
</file>